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510"/>
  </bookViews>
  <sheets>
    <sheet name="промсклад  ( (2)" sheetId="6" r:id="rId1"/>
    <sheet name="промсклад" sheetId="1" r:id="rId2"/>
    <sheet name="нижний склад" sheetId="2" r:id="rId3"/>
    <sheet name="на сайт" sheetId="3" state="hidden" r:id="rId4"/>
    <sheet name="ЛЬГОТНЫЕ для ФЛна стр-во" sheetId="4" state="hidden" r:id="rId5"/>
  </sheets>
  <externalReferences>
    <externalReference r:id="rId6"/>
    <externalReference r:id="rId7"/>
  </externalReferences>
  <definedNames>
    <definedName name="_xlnm.Print_Area" localSheetId="4">'ЛЬГОТНЫЕ для ФЛна стр-во'!$A$2:$F$29</definedName>
    <definedName name="_xlnm.Print_Area" localSheetId="3">'на сайт'!$A$1:$F$34</definedName>
    <definedName name="_xlnm.Print_Area" localSheetId="2">'нижний склад'!$A$1:$F$34</definedName>
    <definedName name="_xlnm.Print_Area" localSheetId="1">промсклад!$A$1:$BD$32</definedName>
    <definedName name="_xlnm.Print_Area" localSheetId="0">'промсклад  ( (2)'!$A$1:$F$24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6" l="1"/>
  <c r="D20" i="6"/>
  <c r="E21" i="6"/>
  <c r="D21" i="6" s="1"/>
  <c r="D13" i="1" l="1"/>
  <c r="E13" i="1"/>
  <c r="E14" i="1"/>
  <c r="C14" i="1"/>
  <c r="D15" i="1"/>
  <c r="C15" i="1" s="1"/>
  <c r="E15" i="1"/>
  <c r="D14" i="2" l="1"/>
  <c r="E14" i="2" s="1"/>
  <c r="BU13" i="1" l="1"/>
  <c r="BV13" i="1" s="1"/>
  <c r="BV15" i="1"/>
  <c r="BV14" i="1"/>
  <c r="BW35" i="1"/>
  <c r="BU35" i="1" s="1"/>
  <c r="BT35" i="1" s="1"/>
  <c r="BU31" i="1"/>
  <c r="BV31" i="1" s="1"/>
  <c r="BV30" i="1"/>
  <c r="BT30" i="1"/>
  <c r="BV27" i="1"/>
  <c r="BT27" i="1"/>
  <c r="BU26" i="1"/>
  <c r="BV26" i="1" s="1"/>
  <c r="BU22" i="1"/>
  <c r="BU23" i="1" s="1"/>
  <c r="BV19" i="1"/>
  <c r="BT19" i="1"/>
  <c r="BU18" i="1"/>
  <c r="BV18" i="1" s="1"/>
  <c r="BT18" i="1"/>
  <c r="BU17" i="1"/>
  <c r="BT17" i="1" s="1"/>
  <c r="BT14" i="1"/>
  <c r="BT31" i="1" l="1"/>
  <c r="BT26" i="1"/>
  <c r="BT13" i="1"/>
  <c r="BT15" i="1"/>
  <c r="BT23" i="1"/>
  <c r="BV23" i="1"/>
  <c r="BU36" i="1"/>
  <c r="BV17" i="1"/>
  <c r="BV22" i="1"/>
  <c r="BV35" i="1"/>
  <c r="BT22" i="1"/>
  <c r="D31" i="1"/>
  <c r="D18" i="1"/>
  <c r="D18" i="2" s="1"/>
  <c r="D19" i="2" s="1"/>
  <c r="D17" i="1" l="1"/>
  <c r="BT36" i="1"/>
  <c r="BW36" i="1"/>
  <c r="BV36" i="1"/>
  <c r="D30" i="2"/>
  <c r="E23" i="2"/>
  <c r="D22" i="2"/>
  <c r="E22" i="2" s="1"/>
  <c r="E31" i="2"/>
  <c r="E31" i="1"/>
  <c r="F15" i="2"/>
  <c r="F14" i="2"/>
  <c r="F19" i="2"/>
  <c r="F18" i="2"/>
  <c r="E18" i="2"/>
  <c r="D17" i="2"/>
  <c r="C17" i="2" s="1"/>
  <c r="E19" i="2"/>
  <c r="D15" i="2"/>
  <c r="E15" i="2" s="1"/>
  <c r="D13" i="2"/>
  <c r="C13" i="2" s="1"/>
  <c r="C18" i="2"/>
  <c r="C14" i="2"/>
  <c r="E30" i="1"/>
  <c r="C31" i="2"/>
  <c r="C30" i="2"/>
  <c r="E30" i="2"/>
  <c r="D26" i="2"/>
  <c r="D27" i="2" s="1"/>
  <c r="C23" i="2"/>
  <c r="D26" i="1"/>
  <c r="E27" i="1"/>
  <c r="E26" i="1"/>
  <c r="D22" i="1"/>
  <c r="D23" i="1" s="1"/>
  <c r="C17" i="1"/>
  <c r="C18" i="1"/>
  <c r="C19" i="1"/>
  <c r="E19" i="1"/>
  <c r="E18" i="1"/>
  <c r="E17" i="1"/>
  <c r="C13" i="1"/>
  <c r="C22" i="2" l="1"/>
  <c r="E22" i="1"/>
  <c r="C22" i="1"/>
  <c r="E23" i="1"/>
  <c r="C23" i="1"/>
  <c r="E26" i="2"/>
  <c r="C27" i="2"/>
  <c r="E27" i="2"/>
  <c r="C15" i="2"/>
  <c r="E13" i="2"/>
  <c r="C26" i="2"/>
  <c r="E17" i="2"/>
  <c r="C19" i="2"/>
  <c r="C31" i="1"/>
  <c r="C30" i="1"/>
  <c r="C26" i="1"/>
  <c r="D18" i="4"/>
  <c r="C27" i="1"/>
  <c r="D16" i="4"/>
  <c r="BO35" i="1"/>
  <c r="BM35" i="1" s="1"/>
  <c r="BN31" i="1"/>
  <c r="BL31" i="1"/>
  <c r="BN30" i="1"/>
  <c r="BL30" i="1"/>
  <c r="BM27" i="1"/>
  <c r="BL27" i="1" s="1"/>
  <c r="BN26" i="1"/>
  <c r="BL26" i="1"/>
  <c r="BM23" i="1"/>
  <c r="BL23" i="1" s="1"/>
  <c r="BN22" i="1"/>
  <c r="BL22" i="1"/>
  <c r="BO19" i="1"/>
  <c r="BN19" i="1"/>
  <c r="BL19" i="1"/>
  <c r="BN18" i="1"/>
  <c r="BL18" i="1"/>
  <c r="BN17" i="1"/>
  <c r="BL17" i="1"/>
  <c r="BN15" i="1"/>
  <c r="BL15" i="1"/>
  <c r="BN14" i="1"/>
  <c r="BL14" i="1"/>
  <c r="BN13" i="1"/>
  <c r="BL13" i="1"/>
  <c r="BN23" i="1" l="1"/>
  <c r="BN27" i="1"/>
  <c r="BN35" i="1"/>
  <c r="BM36" i="1"/>
  <c r="BL35" i="1"/>
  <c r="D22" i="4"/>
  <c r="E22" i="4" s="1"/>
  <c r="C22" i="4"/>
  <c r="D21" i="4"/>
  <c r="E21" i="4" s="1"/>
  <c r="C21" i="4"/>
  <c r="C18" i="4"/>
  <c r="E17" i="4"/>
  <c r="C17" i="4"/>
  <c r="E16" i="4"/>
  <c r="C16" i="4"/>
  <c r="BO36" i="1" l="1"/>
  <c r="BN36" i="1"/>
  <c r="BL36" i="1"/>
  <c r="E18" i="4"/>
  <c r="D20" i="4"/>
  <c r="C20" i="4" l="1"/>
  <c r="E20" i="4"/>
  <c r="J19" i="1" l="1"/>
  <c r="J17" i="1"/>
  <c r="E30" i="3" l="1"/>
  <c r="C30" i="3"/>
  <c r="E29" i="3"/>
  <c r="C29" i="3"/>
  <c r="E26" i="3"/>
  <c r="C26" i="3"/>
  <c r="E25" i="3"/>
  <c r="C25" i="3"/>
  <c r="E22" i="3"/>
  <c r="C22" i="3"/>
  <c r="E21" i="3"/>
  <c r="C21" i="3"/>
  <c r="E18" i="3"/>
  <c r="C18" i="3"/>
  <c r="F17" i="3"/>
  <c r="E17" i="3"/>
  <c r="C17" i="3"/>
  <c r="D16" i="3"/>
  <c r="E16" i="3" s="1"/>
  <c r="F14" i="3"/>
  <c r="F18" i="3" s="1"/>
  <c r="E14" i="3"/>
  <c r="C14" i="3"/>
  <c r="E13" i="3"/>
  <c r="C13" i="3"/>
  <c r="D12" i="3"/>
  <c r="E12" i="3" s="1"/>
  <c r="C12" i="3"/>
  <c r="C16" i="3" l="1"/>
  <c r="AY31" i="1" l="1"/>
  <c r="AY30" i="1"/>
  <c r="AY29" i="1"/>
  <c r="AX29" i="1"/>
  <c r="AW29" i="1"/>
  <c r="AV29" i="1"/>
  <c r="AY27" i="1"/>
  <c r="AY26" i="1"/>
  <c r="AY25" i="1"/>
  <c r="AX25" i="1"/>
  <c r="AW25" i="1"/>
  <c r="AV25" i="1"/>
  <c r="AY23" i="1"/>
  <c r="AY22" i="1"/>
  <c r="AY21" i="1"/>
  <c r="AX21" i="1"/>
  <c r="AW21" i="1"/>
  <c r="AV21" i="1"/>
  <c r="AW19" i="1"/>
  <c r="AY18" i="1"/>
  <c r="AW18" i="1"/>
  <c r="AY17" i="1"/>
  <c r="AY13" i="1"/>
  <c r="AW14" i="1"/>
  <c r="AY14" i="1"/>
  <c r="AW15" i="1"/>
  <c r="AY15" i="1"/>
  <c r="E52" i="2"/>
  <c r="R52" i="2" s="1"/>
  <c r="S52" i="2" s="1"/>
  <c r="E53" i="2"/>
  <c r="F53" i="2" s="1"/>
  <c r="E54" i="2"/>
  <c r="F54" i="2" s="1"/>
  <c r="E55" i="2"/>
  <c r="F55" i="2" s="1"/>
  <c r="E51" i="2"/>
  <c r="F51" i="2" s="1"/>
  <c r="D51" i="2"/>
  <c r="D52" i="2"/>
  <c r="D53" i="2"/>
  <c r="D54" i="2"/>
  <c r="D55" i="2"/>
  <c r="AY19" i="1"/>
  <c r="F52" i="2" l="1"/>
  <c r="R51" i="2"/>
  <c r="S51" i="2" s="1"/>
  <c r="R53" i="2"/>
  <c r="S53" i="2" s="1"/>
  <c r="BA29" i="1"/>
  <c r="BA17" i="1"/>
  <c r="BA13" i="1"/>
  <c r="BA25" i="1"/>
  <c r="BA21" i="1"/>
  <c r="AT35" i="1"/>
  <c r="AR35" i="1" s="1"/>
  <c r="AR30" i="1"/>
  <c r="AS30" i="1" s="1"/>
  <c r="AX30" i="1" s="1"/>
  <c r="AR27" i="1"/>
  <c r="AR26" i="1"/>
  <c r="AQ26" i="1" s="1"/>
  <c r="AR22" i="1"/>
  <c r="AS22" i="1" s="1"/>
  <c r="AX22" i="1" s="1"/>
  <c r="AS19" i="1"/>
  <c r="AX19" i="1" s="1"/>
  <c r="AQ19" i="1"/>
  <c r="AV19" i="1" s="1"/>
  <c r="AS18" i="1"/>
  <c r="AX18" i="1" s="1"/>
  <c r="AQ18" i="1"/>
  <c r="AV18" i="1" s="1"/>
  <c r="AR17" i="1"/>
  <c r="AS15" i="1"/>
  <c r="AX15" i="1" s="1"/>
  <c r="AQ15" i="1"/>
  <c r="AV15" i="1" s="1"/>
  <c r="AS14" i="1"/>
  <c r="AX14" i="1" s="1"/>
  <c r="AQ14" i="1"/>
  <c r="AV14" i="1" s="1"/>
  <c r="AR13" i="1"/>
  <c r="AS26" i="1" l="1"/>
  <c r="AX26" i="1" s="1"/>
  <c r="AW26" i="1"/>
  <c r="AR23" i="1"/>
  <c r="AW23" i="1" s="1"/>
  <c r="AW22" i="1"/>
  <c r="AQ27" i="1"/>
  <c r="AV27" i="1" s="1"/>
  <c r="AW27" i="1"/>
  <c r="AS13" i="1"/>
  <c r="AX13" i="1" s="1"/>
  <c r="AW13" i="1"/>
  <c r="AQ17" i="1"/>
  <c r="AV17" i="1" s="1"/>
  <c r="AW17" i="1"/>
  <c r="AQ13" i="1"/>
  <c r="AV13" i="1" s="1"/>
  <c r="AR31" i="1"/>
  <c r="AW31" i="1" s="1"/>
  <c r="AW30" i="1"/>
  <c r="AV26" i="1"/>
  <c r="AS23" i="1"/>
  <c r="AX23" i="1" s="1"/>
  <c r="AS35" i="1"/>
  <c r="AR36" i="1"/>
  <c r="AQ35" i="1"/>
  <c r="AS17" i="1"/>
  <c r="AX17" i="1" s="1"/>
  <c r="AS27" i="1"/>
  <c r="AX27" i="1" s="1"/>
  <c r="AQ22" i="1"/>
  <c r="AQ30" i="1"/>
  <c r="AQ23" i="1" l="1"/>
  <c r="AV23" i="1" s="1"/>
  <c r="BB13" i="1"/>
  <c r="BC13" i="1" s="1"/>
  <c r="AQ31" i="1"/>
  <c r="AV31" i="1" s="1"/>
  <c r="AS31" i="1"/>
  <c r="AX31" i="1" s="1"/>
  <c r="BB25" i="1"/>
  <c r="BC25" i="1" s="1"/>
  <c r="AV30" i="1"/>
  <c r="AV22" i="1"/>
  <c r="BB21" i="1"/>
  <c r="BC21" i="1" s="1"/>
  <c r="BB17" i="1"/>
  <c r="BC17" i="1" s="1"/>
  <c r="AT36" i="1"/>
  <c r="AS36" i="1"/>
  <c r="AQ36" i="1"/>
  <c r="BB29" i="1" l="1"/>
  <c r="V2" i="1"/>
  <c r="W2" i="1"/>
  <c r="Y2" i="1"/>
  <c r="AD14" i="1"/>
  <c r="AD15" i="1"/>
  <c r="BC29" i="1" l="1"/>
  <c r="Z2" i="1"/>
  <c r="AB2" i="1" s="1"/>
  <c r="AL35" i="1"/>
  <c r="AJ35" i="1" s="1"/>
  <c r="AK31" i="1"/>
  <c r="AI31" i="1"/>
  <c r="AK30" i="1"/>
  <c r="AI30" i="1"/>
  <c r="AK27" i="1"/>
  <c r="AI27" i="1"/>
  <c r="AK26" i="1"/>
  <c r="AI26" i="1"/>
  <c r="AJ23" i="1"/>
  <c r="AI23" i="1" s="1"/>
  <c r="AK22" i="1"/>
  <c r="AI22" i="1"/>
  <c r="AK19" i="1"/>
  <c r="AI19" i="1"/>
  <c r="AK18" i="1"/>
  <c r="AI18" i="1"/>
  <c r="AK17" i="1"/>
  <c r="AI17" i="1"/>
  <c r="AK15" i="1"/>
  <c r="AI15" i="1"/>
  <c r="AK14" i="1"/>
  <c r="AI14" i="1"/>
  <c r="AK13" i="1"/>
  <c r="AI13" i="1"/>
  <c r="AJ36" i="1" l="1"/>
  <c r="AI35" i="1"/>
  <c r="AK35" i="1"/>
  <c r="AK23" i="1"/>
  <c r="AI36" i="1" l="1"/>
  <c r="AL36" i="1"/>
  <c r="AK36" i="1"/>
  <c r="U31" i="1"/>
  <c r="U30" i="1"/>
  <c r="U27" i="1"/>
  <c r="U26" i="1"/>
  <c r="U23" i="1"/>
  <c r="U22" i="1"/>
  <c r="U17" i="1"/>
  <c r="U19" i="1"/>
  <c r="U18" i="1"/>
  <c r="U15" i="1"/>
  <c r="U14" i="1"/>
  <c r="U13" i="1"/>
  <c r="V17" i="1" l="1"/>
  <c r="AB20" i="1"/>
  <c r="AB19" i="1"/>
  <c r="AB18" i="1"/>
  <c r="AB17" i="1" l="1"/>
  <c r="Z17" i="1" s="1"/>
  <c r="D44" i="2"/>
  <c r="D45" i="2" s="1"/>
  <c r="F45" i="2" s="1"/>
  <c r="F35" i="1"/>
  <c r="D35" i="1" s="1"/>
  <c r="D36" i="1" s="1"/>
  <c r="AA19" i="1"/>
  <c r="AA15" i="1"/>
  <c r="M19" i="2"/>
  <c r="J19" i="2"/>
  <c r="D39" i="2"/>
  <c r="E39" i="2" s="1"/>
  <c r="D40" i="2" l="1"/>
  <c r="E40" i="2" s="1"/>
  <c r="E44" i="2"/>
  <c r="E36" i="1"/>
  <c r="F36" i="1"/>
  <c r="C44" i="2"/>
  <c r="C35" i="1"/>
  <c r="E35" i="1"/>
  <c r="C39" i="2"/>
  <c r="O2" i="2"/>
  <c r="P2" i="2" s="1"/>
  <c r="P1" i="2"/>
  <c r="N1" i="2"/>
  <c r="O3" i="2"/>
  <c r="N3" i="2" s="1"/>
  <c r="X3" i="1"/>
  <c r="Y3" i="1" s="1"/>
  <c r="X4" i="1"/>
  <c r="W4" i="1" s="1"/>
  <c r="C40" i="2" l="1"/>
  <c r="F40" i="2"/>
  <c r="M15" i="2"/>
  <c r="E45" i="2"/>
  <c r="C45" i="2"/>
  <c r="C36" i="1"/>
  <c r="O12" i="1"/>
  <c r="G15" i="1" l="1"/>
  <c r="G19" i="1" l="1"/>
  <c r="G23" i="1"/>
  <c r="G27" i="1"/>
  <c r="J17" i="2" l="1"/>
  <c r="Q11" i="1"/>
  <c r="Q12" i="1"/>
  <c r="N12" i="1"/>
  <c r="P12" i="1"/>
  <c r="R12" i="1" l="1"/>
  <c r="P11" i="1"/>
  <c r="N11" i="1" l="1"/>
  <c r="O11" i="1"/>
  <c r="R11" i="1" s="1"/>
  <c r="R13" i="1" s="1"/>
</calcChain>
</file>

<file path=xl/sharedStrings.xml><?xml version="1.0" encoding="utf-8"?>
<sst xmlns="http://schemas.openxmlformats.org/spreadsheetml/2006/main" count="581" uniqueCount="71">
  <si>
    <t>коэфф.сортности</t>
  </si>
  <si>
    <t>Сорт А</t>
  </si>
  <si>
    <t>Сорт В</t>
  </si>
  <si>
    <t>Сорт С</t>
  </si>
  <si>
    <t>Сорт D</t>
  </si>
  <si>
    <t xml:space="preserve">Цена за 1 пл.куб., руб., коп., без НДС    </t>
  </si>
  <si>
    <t>Порода</t>
  </si>
  <si>
    <t>Толщина(см)</t>
  </si>
  <si>
    <t>% толщины</t>
  </si>
  <si>
    <t>Длина (м)</t>
  </si>
  <si>
    <t>1,0-6,5</t>
  </si>
  <si>
    <t>1,0-4,0</t>
  </si>
  <si>
    <t>Ель</t>
  </si>
  <si>
    <t>до 13</t>
  </si>
  <si>
    <t>х</t>
  </si>
  <si>
    <t>14-25</t>
  </si>
  <si>
    <t>26 и более</t>
  </si>
  <si>
    <t>Сосна</t>
  </si>
  <si>
    <t>Береза</t>
  </si>
  <si>
    <t>Осина</t>
  </si>
  <si>
    <t>Ольха чёрная</t>
  </si>
  <si>
    <t>ПРЕЙСКУРАНТ</t>
  </si>
  <si>
    <t xml:space="preserve">цен на лесоматериалы круглые с использованием стандартов на основе европейских EN </t>
  </si>
  <si>
    <t xml:space="preserve"> на условиях франко-промежуточный склад</t>
  </si>
  <si>
    <t>УТВЕРЖДАЮ</t>
  </si>
  <si>
    <t>Ведущий экономист</t>
  </si>
  <si>
    <t>Ю.А. Панюшкина</t>
  </si>
  <si>
    <t xml:space="preserve"> на условиях  франко-нижний склад (склад покупателя)</t>
  </si>
  <si>
    <t>хв</t>
  </si>
  <si>
    <t>мл</t>
  </si>
  <si>
    <t>26 и б.</t>
  </si>
  <si>
    <t>Дуб</t>
  </si>
  <si>
    <t>ФНС</t>
  </si>
  <si>
    <t>Фвагон</t>
  </si>
  <si>
    <t>любые Д -189р</t>
  </si>
  <si>
    <t>а</t>
  </si>
  <si>
    <t>в</t>
  </si>
  <si>
    <t>с</t>
  </si>
  <si>
    <t>сорт Д (57% от В)</t>
  </si>
  <si>
    <t>жерди</t>
  </si>
  <si>
    <t>ель</t>
  </si>
  <si>
    <t>сосна</t>
  </si>
  <si>
    <t>бер</t>
  </si>
  <si>
    <t>ольха</t>
  </si>
  <si>
    <t>осина</t>
  </si>
  <si>
    <t xml:space="preserve"> с 01.01.2022г.</t>
  </si>
  <si>
    <t>*При реализации древесины в заготовленном виде физическим лицам для ремонта жилых домов, хозяйственных построек, а также физическим лицам, постоянно проживающим на территории сельсоветов, поселков городского типа, городов районного подчинения, являющихся административно-территориальными единицами, поселков городского типа и городов районного подчинения, являющихся территориальными,  и нуждающимся в улучшении жилищных условий, для сторительства, в том числе реконструкции и ремонта, жилых домов, хозяйственных построек применять скидку в размере 20% к действующим на момент отгрузки  отпускным ценам. Основанием для применения скидки, указанным категориям физических лиц является решение  гор (рай) исполкома  с указанием ФИО и объемов выделяемой  древесины.</t>
  </si>
  <si>
    <t xml:space="preserve">Директор Чаусского лесхоза </t>
  </si>
  <si>
    <t>А.В.Юрков</t>
  </si>
  <si>
    <t>вводиться с 01.03.2022 г.</t>
  </si>
  <si>
    <t xml:space="preserve">цен на лесоматериалы круглые </t>
  </si>
  <si>
    <t xml:space="preserve"> физическим лицам для ремонта жилых домов, хозяйственных построек, а также физическим лицам, постоянно проживающим на территории сельсоветов, поселков городского типа, городов районного подчинения, являющихся административно-территориальными единицами, поселков городского типа и городов районного подчинения, являющихся территориальными единицами, и нуждающимся в улучшении жилищных условий, для строительства, в том числе реконструкции и ремонта, жилых домов, хозяйственных построек</t>
  </si>
  <si>
    <t>СТБ 2316-1-2013,  2316-2-2013, 2315-1-2013, 2315-2-2013, 2187-2011</t>
  </si>
  <si>
    <t>Хвойные (ель, сосна)</t>
  </si>
  <si>
    <t>Мягколиственные (береза, осина, ольха)</t>
  </si>
  <si>
    <t>Начальник сектора</t>
  </si>
  <si>
    <t>Е.А.Дыдышко</t>
  </si>
  <si>
    <t>* Прейскурант действует с 1 марта 2022 года</t>
  </si>
  <si>
    <t>Ель, сосна</t>
  </si>
  <si>
    <t>вводится с 01.01.2023г.</t>
  </si>
  <si>
    <t>Начальник планово-экономического сектора</t>
  </si>
  <si>
    <t>любые</t>
  </si>
  <si>
    <t>Хвойные (ель, сосна) и мягколиственные (береза, осина, ольха)</t>
  </si>
  <si>
    <r>
      <rPr>
        <b/>
        <i/>
        <sz val="11"/>
        <rFont val="Arial Cyr"/>
        <charset val="204"/>
      </rPr>
      <t>юридическим лицам</t>
    </r>
    <r>
      <rPr>
        <i/>
        <sz val="11"/>
        <rFont val="Arial Cyr"/>
        <charset val="204"/>
      </rPr>
      <t xml:space="preserve"> по п.6.2 Правил реализации (Указ Президента Республики Беларусь 22.08.2022 № 294)</t>
    </r>
  </si>
  <si>
    <r>
      <rPr>
        <b/>
        <i/>
        <sz val="11"/>
        <rFont val="Arial Cyr"/>
        <charset val="204"/>
      </rPr>
      <t>юридическим лицам</t>
    </r>
    <r>
      <rPr>
        <i/>
        <sz val="11"/>
        <rFont val="Arial Cyr"/>
        <charset val="204"/>
      </rPr>
      <t xml:space="preserve"> для осуществления строительства жилья на территории сельской местности в рамках государственных программ;</t>
    </r>
  </si>
  <si>
    <r>
      <rPr>
        <b/>
        <i/>
        <sz val="11"/>
        <rFont val="Arial Cyr"/>
        <charset val="204"/>
      </rPr>
      <t>физическим лицам для осуществления</t>
    </r>
    <r>
      <rPr>
        <i/>
        <sz val="11"/>
        <rFont val="Arial Cyr"/>
        <charset val="204"/>
      </rPr>
      <t>:
*строительства, в том числе реконструкции или капитального ремонта, жилых домов или надворных построек в объеме до 70 куб. метров;
*текущего ремонта принадлежащих им жилых домов, надворных построек, ограждения земельного участка в объеме до 10 куб. метров;
*текущего ремонта объектов, расположенных на территории садоводческого товарищества или дачного кооператива, в объеме до 10 куб. метров;</t>
    </r>
  </si>
  <si>
    <t>цен на лесоматериалы круглые в заготовленном виде</t>
  </si>
  <si>
    <t>А.А.Подобед</t>
  </si>
  <si>
    <t xml:space="preserve">Директор   Чаусского лесхоза </t>
  </si>
  <si>
    <t xml:space="preserve">Утверждаю </t>
  </si>
  <si>
    <t>Приложение 4  к приказу №142 от 08.02.2023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</si>
</sst>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_-* #,##0.00_р_._-;\-* #,##0.00_р_._-;_-* &quot;-&quot;??_р_._-;_-@_-"/>
  </numFmts>
  <fonts count="37" x14ac:knownFonts="1">
    <font>
      <sz val="14"/>
      <color theme="1"/>
      <name val="Times New Roman"/>
      <family val="2"/>
      <charset val="204"/>
    </font>
    <font>
      <sz val="10"/>
      <name val="Arial Cyr"/>
      <charset val="204"/>
    </font>
    <font>
      <b/>
      <sz val="16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8"/>
      <name val="Arial Cyr"/>
      <charset val="204"/>
    </font>
    <font>
      <b/>
      <sz val="18"/>
      <name val="Arial Cyr"/>
      <charset val="204"/>
    </font>
    <font>
      <sz val="18"/>
      <name val="Arial Cyr"/>
      <charset val="204"/>
    </font>
    <font>
      <sz val="16"/>
      <name val="Arial Cyr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name val="Arial Cyr"/>
      <charset val="204"/>
    </font>
    <font>
      <sz val="11"/>
      <name val="Times New Roman"/>
      <family val="1"/>
      <charset val="204"/>
    </font>
    <font>
      <b/>
      <sz val="12"/>
      <name val="Arial Cyr"/>
      <charset val="204"/>
    </font>
    <font>
      <b/>
      <u/>
      <sz val="16"/>
      <name val="Arial Cyr"/>
      <charset val="204"/>
    </font>
    <font>
      <b/>
      <i/>
      <sz val="18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70C0"/>
      <name val="Arial Cyr"/>
      <charset val="204"/>
    </font>
    <font>
      <b/>
      <i/>
      <sz val="16"/>
      <color rgb="FF0070C0"/>
      <name val="Times New Roman"/>
      <family val="1"/>
      <charset val="204"/>
    </font>
    <font>
      <sz val="16"/>
      <color theme="2" tint="-0.89999084444715716"/>
      <name val="Times New Roman"/>
      <family val="1"/>
      <charset val="204"/>
    </font>
    <font>
      <sz val="16"/>
      <color rgb="FF00206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i/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2"/>
    <xf numFmtId="0" fontId="3" fillId="0" borderId="0" xfId="2" applyFont="1"/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6" fillId="0" borderId="0" xfId="2" applyFont="1" applyAlignment="1">
      <alignment horizontal="center" wrapText="1"/>
    </xf>
    <xf numFmtId="9" fontId="9" fillId="3" borderId="0" xfId="1" applyFont="1" applyFill="1"/>
    <xf numFmtId="9" fontId="1" fillId="0" borderId="0" xfId="1" applyFont="1"/>
    <xf numFmtId="9" fontId="1" fillId="0" borderId="0" xfId="2" applyNumberFormat="1"/>
    <xf numFmtId="164" fontId="1" fillId="0" borderId="0" xfId="2" applyNumberForma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1" fillId="0" borderId="0" xfId="0" applyFont="1" applyBorder="1" applyAlignment="1"/>
    <xf numFmtId="0" fontId="13" fillId="0" borderId="0" xfId="0" applyFont="1" applyAlignment="1"/>
    <xf numFmtId="0" fontId="13" fillId="4" borderId="0" xfId="0" applyFont="1" applyFill="1" applyAlignment="1"/>
    <xf numFmtId="0" fontId="12" fillId="0" borderId="0" xfId="2" applyFont="1"/>
    <xf numFmtId="0" fontId="4" fillId="0" borderId="0" xfId="2" applyFont="1" applyAlignment="1"/>
    <xf numFmtId="0" fontId="7" fillId="2" borderId="0" xfId="2" applyFont="1" applyFill="1" applyBorder="1" applyAlignment="1">
      <alignment horizontal="center" vertical="top" wrapText="1"/>
    </xf>
    <xf numFmtId="0" fontId="3" fillId="0" borderId="0" xfId="2" applyFont="1" applyAlignment="1"/>
    <xf numFmtId="9" fontId="16" fillId="2" borderId="0" xfId="2" applyNumberFormat="1" applyFont="1" applyFill="1" applyBorder="1" applyAlignment="1">
      <alignment wrapText="1"/>
    </xf>
    <xf numFmtId="0" fontId="3" fillId="0" borderId="0" xfId="2" applyFont="1" applyAlignment="1">
      <alignment wrapText="1"/>
    </xf>
    <xf numFmtId="0" fontId="7" fillId="0" borderId="0" xfId="2" applyFont="1" applyAlignment="1">
      <alignment horizontal="right"/>
    </xf>
    <xf numFmtId="0" fontId="17" fillId="0" borderId="0" xfId="2" applyFont="1" applyAlignment="1"/>
    <xf numFmtId="0" fontId="14" fillId="2" borderId="0" xfId="2" applyFont="1" applyFill="1" applyBorder="1" applyAlignment="1">
      <alignment horizontal="center" vertical="top" wrapText="1"/>
    </xf>
    <xf numFmtId="0" fontId="12" fillId="0" borderId="0" xfId="2" applyFont="1" applyAlignment="1"/>
    <xf numFmtId="9" fontId="18" fillId="2" borderId="0" xfId="2" applyNumberFormat="1" applyFont="1" applyFill="1" applyBorder="1" applyAlignment="1">
      <alignment wrapText="1"/>
    </xf>
    <xf numFmtId="0" fontId="12" fillId="0" borderId="0" xfId="2" applyFont="1" applyAlignment="1">
      <alignment wrapText="1"/>
    </xf>
    <xf numFmtId="0" fontId="14" fillId="0" borderId="2" xfId="2" applyFont="1" applyBorder="1" applyAlignment="1">
      <alignment horizontal="center" vertical="center" wrapText="1"/>
    </xf>
    <xf numFmtId="0" fontId="17" fillId="0" borderId="1" xfId="2" applyFont="1" applyBorder="1" applyAlignment="1">
      <alignment vertical="center" wrapText="1"/>
    </xf>
    <xf numFmtId="0" fontId="14" fillId="0" borderId="4" xfId="2" applyFont="1" applyBorder="1" applyAlignment="1">
      <alignment horizontal="center" vertical="top" wrapText="1"/>
    </xf>
    <xf numFmtId="0" fontId="14" fillId="0" borderId="1" xfId="2" applyFont="1" applyBorder="1" applyAlignment="1">
      <alignment horizontal="center" vertical="top" wrapText="1"/>
    </xf>
    <xf numFmtId="2" fontId="14" fillId="0" borderId="2" xfId="2" applyNumberFormat="1" applyFont="1" applyBorder="1" applyAlignment="1">
      <alignment horizontal="center" vertical="top" wrapText="1"/>
    </xf>
    <xf numFmtId="2" fontId="14" fillId="0" borderId="4" xfId="2" applyNumberFormat="1" applyFont="1" applyBorder="1" applyAlignment="1">
      <alignment horizontal="center" vertical="top" wrapText="1"/>
    </xf>
    <xf numFmtId="9" fontId="18" fillId="4" borderId="0" xfId="2" applyNumberFormat="1" applyFont="1" applyFill="1" applyBorder="1" applyAlignment="1">
      <alignment wrapText="1"/>
    </xf>
    <xf numFmtId="9" fontId="16" fillId="4" borderId="0" xfId="2" applyNumberFormat="1" applyFont="1" applyFill="1" applyBorder="1" applyAlignment="1">
      <alignment wrapText="1"/>
    </xf>
    <xf numFmtId="0" fontId="14" fillId="4" borderId="1" xfId="2" applyFont="1" applyFill="1" applyBorder="1" applyAlignment="1">
      <alignment horizontal="center" vertical="top" wrapText="1"/>
    </xf>
    <xf numFmtId="2" fontId="1" fillId="0" borderId="0" xfId="2" applyNumberFormat="1" applyAlignment="1">
      <alignment horizontal="center" vertical="center"/>
    </xf>
    <xf numFmtId="2" fontId="1" fillId="0" borderId="0" xfId="2" applyNumberFormat="1"/>
    <xf numFmtId="2" fontId="1" fillId="0" borderId="2" xfId="2" applyNumberFormat="1" applyBorder="1" applyAlignment="1">
      <alignment horizontal="center" vertical="center"/>
    </xf>
    <xf numFmtId="0" fontId="1" fillId="0" borderId="0" xfId="2" applyAlignment="1">
      <alignment horizontal="center"/>
    </xf>
    <xf numFmtId="2" fontId="1" fillId="0" borderId="0" xfId="2" applyNumberFormat="1" applyAlignment="1">
      <alignment horizontal="center"/>
    </xf>
    <xf numFmtId="2" fontId="1" fillId="0" borderId="2" xfId="2" applyNumberFormat="1" applyBorder="1"/>
    <xf numFmtId="0" fontId="1" fillId="0" borderId="2" xfId="2" applyBorder="1" applyAlignment="1">
      <alignment horizontal="center"/>
    </xf>
    <xf numFmtId="2" fontId="19" fillId="4" borderId="2" xfId="2" applyNumberFormat="1" applyFont="1" applyFill="1" applyBorder="1" applyAlignment="1">
      <alignment horizontal="center" vertical="top" wrapText="1"/>
    </xf>
    <xf numFmtId="2" fontId="14" fillId="4" borderId="2" xfId="2" applyNumberFormat="1" applyFont="1" applyFill="1" applyBorder="1" applyAlignment="1">
      <alignment horizontal="center" vertical="top" wrapText="1"/>
    </xf>
    <xf numFmtId="2" fontId="20" fillId="4" borderId="2" xfId="2" applyNumberFormat="1" applyFont="1" applyFill="1" applyBorder="1" applyAlignment="1">
      <alignment horizontal="center" vertical="top" wrapText="1"/>
    </xf>
    <xf numFmtId="2" fontId="14" fillId="4" borderId="4" xfId="2" applyNumberFormat="1" applyFont="1" applyFill="1" applyBorder="1" applyAlignment="1">
      <alignment horizontal="center" vertical="top" wrapText="1"/>
    </xf>
    <xf numFmtId="2" fontId="21" fillId="4" borderId="2" xfId="2" applyNumberFormat="1" applyFont="1" applyFill="1" applyBorder="1" applyAlignment="1">
      <alignment horizontal="center" vertical="top" wrapText="1"/>
    </xf>
    <xf numFmtId="2" fontId="20" fillId="5" borderId="2" xfId="2" applyNumberFormat="1" applyFont="1" applyFill="1" applyBorder="1" applyAlignment="1">
      <alignment horizontal="center" vertical="top" wrapText="1"/>
    </xf>
    <xf numFmtId="2" fontId="19" fillId="5" borderId="2" xfId="2" applyNumberFormat="1" applyFont="1" applyFill="1" applyBorder="1" applyAlignment="1">
      <alignment horizontal="center" vertical="top" wrapText="1"/>
    </xf>
    <xf numFmtId="165" fontId="1" fillId="0" borderId="0" xfId="2" applyNumberFormat="1"/>
    <xf numFmtId="2" fontId="20" fillId="0" borderId="2" xfId="2" applyNumberFormat="1" applyFont="1" applyBorder="1" applyAlignment="1">
      <alignment horizontal="center" vertical="top" wrapText="1"/>
    </xf>
    <xf numFmtId="0" fontId="3" fillId="0" borderId="0" xfId="2" applyFont="1" applyBorder="1"/>
    <xf numFmtId="2" fontId="22" fillId="4" borderId="2" xfId="2" applyNumberFormat="1" applyFont="1" applyFill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0" xfId="2" applyFont="1"/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wrapText="1"/>
    </xf>
    <xf numFmtId="9" fontId="23" fillId="3" borderId="0" xfId="1" applyFont="1" applyFill="1"/>
    <xf numFmtId="9" fontId="12" fillId="0" borderId="0" xfId="1" applyFont="1"/>
    <xf numFmtId="9" fontId="12" fillId="0" borderId="0" xfId="2" applyNumberFormat="1" applyFont="1"/>
    <xf numFmtId="165" fontId="12" fillId="0" borderId="0" xfId="2" applyNumberFormat="1" applyFont="1"/>
    <xf numFmtId="164" fontId="12" fillId="0" borderId="0" xfId="2" applyNumberFormat="1" applyFont="1"/>
    <xf numFmtId="0" fontId="14" fillId="0" borderId="2" xfId="2" applyFont="1" applyBorder="1" applyAlignment="1">
      <alignment horizontal="center" vertical="center" wrapText="1"/>
    </xf>
    <xf numFmtId="1" fontId="3" fillId="0" borderId="2" xfId="2" applyNumberFormat="1" applyFont="1" applyBorder="1"/>
    <xf numFmtId="1" fontId="1" fillId="0" borderId="0" xfId="2" applyNumberFormat="1"/>
    <xf numFmtId="0" fontId="14" fillId="0" borderId="2" xfId="2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2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2" fillId="0" borderId="0" xfId="2" applyFont="1" applyAlignment="1">
      <alignment horizontal="right"/>
    </xf>
    <xf numFmtId="0" fontId="12" fillId="0" borderId="7" xfId="2" applyFont="1" applyBorder="1"/>
    <xf numFmtId="0" fontId="14" fillId="0" borderId="7" xfId="0" applyFont="1" applyBorder="1" applyAlignment="1"/>
    <xf numFmtId="0" fontId="14" fillId="0" borderId="0" xfId="0" applyFont="1" applyBorder="1" applyAlignment="1">
      <alignment horizontal="center"/>
    </xf>
    <xf numFmtId="9" fontId="27" fillId="2" borderId="0" xfId="2" applyNumberFormat="1" applyFont="1" applyFill="1" applyBorder="1" applyAlignment="1">
      <alignment wrapText="1"/>
    </xf>
    <xf numFmtId="0" fontId="14" fillId="0" borderId="0" xfId="2" applyFont="1" applyAlignment="1">
      <alignment horizontal="right"/>
    </xf>
    <xf numFmtId="2" fontId="19" fillId="0" borderId="2" xfId="2" applyNumberFormat="1" applyFont="1" applyBorder="1" applyAlignment="1">
      <alignment horizontal="center" vertical="top" wrapText="1"/>
    </xf>
    <xf numFmtId="2" fontId="14" fillId="0" borderId="0" xfId="2" applyNumberFormat="1" applyFont="1" applyBorder="1" applyAlignment="1">
      <alignment horizontal="center" vertical="center" wrapText="1"/>
    </xf>
    <xf numFmtId="2" fontId="14" fillId="0" borderId="0" xfId="2" applyNumberFormat="1" applyFont="1" applyBorder="1" applyAlignment="1">
      <alignment horizontal="center" vertical="top" wrapText="1"/>
    </xf>
    <xf numFmtId="2" fontId="19" fillId="0" borderId="0" xfId="2" applyNumberFormat="1" applyFont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center" wrapText="1"/>
    </xf>
    <xf numFmtId="2" fontId="20" fillId="6" borderId="2" xfId="2" applyNumberFormat="1" applyFont="1" applyFill="1" applyBorder="1" applyAlignment="1">
      <alignment horizontal="center" vertical="top" wrapText="1"/>
    </xf>
    <xf numFmtId="2" fontId="14" fillId="6" borderId="2" xfId="2" applyNumberFormat="1" applyFont="1" applyFill="1" applyBorder="1" applyAlignment="1">
      <alignment horizontal="center" vertical="top" wrapText="1"/>
    </xf>
    <xf numFmtId="2" fontId="22" fillId="6" borderId="2" xfId="2" applyNumberFormat="1" applyFont="1" applyFill="1" applyBorder="1" applyAlignment="1">
      <alignment horizontal="center" vertical="top" wrapText="1"/>
    </xf>
    <xf numFmtId="2" fontId="32" fillId="4" borderId="2" xfId="2" applyNumberFormat="1" applyFont="1" applyFill="1" applyBorder="1" applyAlignment="1">
      <alignment horizontal="center" vertical="top" wrapText="1"/>
    </xf>
    <xf numFmtId="2" fontId="31" fillId="4" borderId="2" xfId="2" applyNumberFormat="1" applyFont="1" applyFill="1" applyBorder="1" applyAlignment="1">
      <alignment horizontal="center" vertical="top" wrapText="1"/>
    </xf>
    <xf numFmtId="0" fontId="12" fillId="0" borderId="0" xfId="2" applyFont="1" applyAlignment="1">
      <alignment horizontal="left"/>
    </xf>
    <xf numFmtId="0" fontId="14" fillId="0" borderId="2" xfId="2" applyFont="1" applyBorder="1" applyAlignment="1">
      <alignment horizontal="center" vertical="center" wrapText="1"/>
    </xf>
    <xf numFmtId="9" fontId="30" fillId="4" borderId="0" xfId="2" applyNumberFormat="1" applyFont="1" applyFill="1" applyBorder="1" applyAlignment="1">
      <alignment horizont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2" fontId="14" fillId="0" borderId="0" xfId="2" applyNumberFormat="1" applyFont="1" applyBorder="1" applyAlignment="1">
      <alignment horizontal="center" vertical="top" wrapText="1"/>
    </xf>
    <xf numFmtId="9" fontId="30" fillId="4" borderId="0" xfId="2" applyNumberFormat="1" applyFont="1" applyFill="1" applyBorder="1" applyAlignment="1">
      <alignment horizontal="center" wrapText="1"/>
    </xf>
    <xf numFmtId="2" fontId="14" fillId="4" borderId="1" xfId="2" applyNumberFormat="1" applyFont="1" applyFill="1" applyBorder="1" applyAlignment="1">
      <alignment horizontal="center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14" fillId="0" borderId="2" xfId="2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4" fillId="0" borderId="1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2" fontId="14" fillId="0" borderId="4" xfId="2" applyNumberFormat="1" applyFont="1" applyBorder="1" applyAlignment="1">
      <alignment horizontal="center" vertical="center" wrapText="1"/>
    </xf>
    <xf numFmtId="2" fontId="14" fillId="0" borderId="6" xfId="2" applyNumberFormat="1" applyFont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 wrapText="1"/>
    </xf>
    <xf numFmtId="2" fontId="14" fillId="4" borderId="6" xfId="2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2" fontId="14" fillId="0" borderId="1" xfId="2" applyNumberFormat="1" applyFont="1" applyBorder="1" applyAlignment="1">
      <alignment horizontal="center" vertical="center" wrapText="1"/>
    </xf>
    <xf numFmtId="2" fontId="14" fillId="0" borderId="5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left" wrapText="1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9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2" fontId="14" fillId="0" borderId="3" xfId="2" applyNumberFormat="1" applyFont="1" applyBorder="1" applyAlignment="1">
      <alignment horizontal="center" vertical="center" wrapText="1"/>
    </xf>
    <xf numFmtId="2" fontId="14" fillId="0" borderId="0" xfId="2" applyNumberFormat="1" applyFont="1" applyBorder="1" applyAlignment="1">
      <alignment horizontal="center" vertical="top" wrapText="1"/>
    </xf>
    <xf numFmtId="2" fontId="28" fillId="0" borderId="0" xfId="2" applyNumberFormat="1" applyFont="1" applyBorder="1" applyAlignment="1">
      <alignment horizontal="left" wrapText="1"/>
    </xf>
    <xf numFmtId="0" fontId="26" fillId="0" borderId="0" xfId="0" applyFont="1" applyBorder="1" applyAlignment="1">
      <alignment horizontal="center"/>
    </xf>
    <xf numFmtId="0" fontId="1" fillId="0" borderId="0" xfId="2" applyFont="1"/>
    <xf numFmtId="0" fontId="7" fillId="0" borderId="0" xfId="2" applyFont="1" applyAlignment="1">
      <alignment horizontal="right" wrapText="1"/>
    </xf>
    <xf numFmtId="0" fontId="7" fillId="0" borderId="0" xfId="2" applyFont="1" applyAlignment="1">
      <alignment horizontal="left" wrapText="1"/>
    </xf>
    <xf numFmtId="9" fontId="1" fillId="0" borderId="0" xfId="2" applyNumberFormat="1" applyFont="1"/>
    <xf numFmtId="2" fontId="14" fillId="0" borderId="8" xfId="2" applyNumberFormat="1" applyFont="1" applyBorder="1" applyAlignment="1">
      <alignment horizontal="center" vertical="top" wrapText="1"/>
    </xf>
    <xf numFmtId="2" fontId="14" fillId="0" borderId="6" xfId="2" applyNumberFormat="1" applyFont="1" applyBorder="1" applyAlignment="1">
      <alignment horizontal="center" vertical="top" wrapText="1"/>
    </xf>
    <xf numFmtId="2" fontId="14" fillId="0" borderId="4" xfId="2" applyNumberFormat="1" applyFont="1" applyBorder="1" applyAlignment="1">
      <alignment horizontal="center" vertical="top" wrapText="1"/>
    </xf>
    <xf numFmtId="0" fontId="1" fillId="0" borderId="0" xfId="2" applyFont="1" applyAlignment="1">
      <alignment horizontal="center" vertical="center"/>
    </xf>
    <xf numFmtId="0" fontId="34" fillId="0" borderId="0" xfId="0" applyFont="1" applyAlignment="1">
      <alignment horizontal="left" wrapText="1"/>
    </xf>
    <xf numFmtId="0" fontId="36" fillId="0" borderId="0" xfId="0" applyFont="1" applyAlignment="1">
      <alignment horizontal="right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wrapText="1"/>
    </xf>
    <xf numFmtId="49" fontId="28" fillId="0" borderId="0" xfId="2" applyNumberFormat="1" applyFont="1" applyAlignment="1">
      <alignment horizontal="right" vertical="center" wrapText="1"/>
    </xf>
    <xf numFmtId="0" fontId="7" fillId="0" borderId="0" xfId="2" applyFont="1" applyAlignment="1">
      <alignment horizontal="center" vertical="center" wrapText="1"/>
    </xf>
  </cellXfs>
  <cellStyles count="4">
    <cellStyle name="Обычный" xfId="0" builtinId="0"/>
    <cellStyle name="Обычный 3" xfId="2"/>
    <cellStyle name="Процентный" xfId="1" builtinId="5"/>
    <cellStyle name="Финансовый 2" xfId="3"/>
  </cellStyles>
  <dxfs count="0"/>
  <tableStyles count="0" defaultTableStyle="TableStyleMedium2" defaultPivotStyle="PivotStyleLight16"/>
  <colors>
    <mruColors>
      <color rgb="FFFF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,2021%20&#1076;&#1083;&#1103;%20&#1083;&#1077;&#1089;&#1093;&#1086;&#1079;&#1086;&#1074;_%20&#1087;&#1088;&#1072;&#1081;&#1089;%20&#1050;&#1056;&#1059;&#1043;&#1051;&#1067;&#1045;%20&#1087;&#1086;%20&#1087;&#1088;&#1103;&#1084;&#1099;&#10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ilomaterialyh0209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мсклад "/>
      <sheetName val="нижний склад"/>
    </sheetNames>
    <sheetDataSet>
      <sheetData sheetId="0">
        <row r="18">
          <cell r="D18">
            <v>107.17</v>
          </cell>
        </row>
        <row r="19">
          <cell r="D19">
            <v>184.91</v>
          </cell>
        </row>
        <row r="20">
          <cell r="D20">
            <v>250.85</v>
          </cell>
        </row>
        <row r="22">
          <cell r="D22">
            <v>84.63</v>
          </cell>
        </row>
        <row r="23">
          <cell r="D23">
            <v>189.51</v>
          </cell>
        </row>
        <row r="24">
          <cell r="D24">
            <v>252.51</v>
          </cell>
        </row>
        <row r="27">
          <cell r="D27">
            <v>68.790000000000006</v>
          </cell>
        </row>
        <row r="28">
          <cell r="D28">
            <v>88.58</v>
          </cell>
        </row>
        <row r="31">
          <cell r="D31">
            <v>88.6</v>
          </cell>
        </row>
        <row r="32">
          <cell r="D32">
            <v>112.07</v>
          </cell>
        </row>
        <row r="35">
          <cell r="D35">
            <v>91.95</v>
          </cell>
        </row>
        <row r="36">
          <cell r="D36">
            <v>132.62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ило(250 руб.-5%)"/>
      <sheetName val="пило(350 руб.-20%)"/>
    </sheetNames>
    <sheetDataSet>
      <sheetData sheetId="0"/>
      <sheetData sheetId="1">
        <row r="12">
          <cell r="E12" t="str">
            <v>вводится с 09.02.2023 года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24"/>
  <sheetViews>
    <sheetView tabSelected="1" view="pageBreakPreview" topLeftCell="A5" zoomScale="90" zoomScaleNormal="110" zoomScaleSheetLayoutView="90" workbookViewId="0">
      <selection activeCell="A8" sqref="A8:F8"/>
    </sheetView>
  </sheetViews>
  <sheetFormatPr defaultRowHeight="20.25" outlineLevelRow="1" x14ac:dyDescent="0.3"/>
  <cols>
    <col min="1" max="1" width="22.5546875" style="16" customWidth="1"/>
    <col min="2" max="2" width="14.33203125" style="16" customWidth="1"/>
    <col min="3" max="3" width="9.33203125" style="16" customWidth="1"/>
    <col min="4" max="4" width="15.5546875" style="16" customWidth="1"/>
    <col min="5" max="5" width="15.88671875" style="16" customWidth="1"/>
    <col min="6" max="6" width="14.44140625" style="16" customWidth="1"/>
    <col min="7" max="7" width="0" style="125" hidden="1" customWidth="1"/>
    <col min="8" max="243" width="8.88671875" style="125"/>
    <col min="244" max="244" width="13.33203125" style="125" customWidth="1"/>
    <col min="245" max="245" width="9.5546875" style="125" customWidth="1"/>
    <col min="246" max="246" width="12.77734375" style="125" customWidth="1"/>
    <col min="247" max="247" width="10.5546875" style="125" customWidth="1"/>
    <col min="248" max="248" width="10.88671875" style="125" customWidth="1"/>
    <col min="249" max="249" width="11.21875" style="125" customWidth="1"/>
    <col min="250" max="250" width="8.88671875" style="125"/>
    <col min="251" max="251" width="11.21875" style="125" customWidth="1"/>
    <col min="252" max="499" width="8.88671875" style="125"/>
    <col min="500" max="500" width="13.33203125" style="125" customWidth="1"/>
    <col min="501" max="501" width="9.5546875" style="125" customWidth="1"/>
    <col min="502" max="502" width="12.77734375" style="125" customWidth="1"/>
    <col min="503" max="503" width="10.5546875" style="125" customWidth="1"/>
    <col min="504" max="504" width="10.88671875" style="125" customWidth="1"/>
    <col min="505" max="505" width="11.21875" style="125" customWidth="1"/>
    <col min="506" max="506" width="8.88671875" style="125"/>
    <col min="507" max="507" width="11.21875" style="125" customWidth="1"/>
    <col min="508" max="755" width="8.88671875" style="125"/>
    <col min="756" max="756" width="13.33203125" style="125" customWidth="1"/>
    <col min="757" max="757" width="9.5546875" style="125" customWidth="1"/>
    <col min="758" max="758" width="12.77734375" style="125" customWidth="1"/>
    <col min="759" max="759" width="10.5546875" style="125" customWidth="1"/>
    <col min="760" max="760" width="10.88671875" style="125" customWidth="1"/>
    <col min="761" max="761" width="11.21875" style="125" customWidth="1"/>
    <col min="762" max="762" width="8.88671875" style="125"/>
    <col min="763" max="763" width="11.21875" style="125" customWidth="1"/>
    <col min="764" max="1011" width="8.88671875" style="125"/>
    <col min="1012" max="1012" width="13.33203125" style="125" customWidth="1"/>
    <col min="1013" max="1013" width="9.5546875" style="125" customWidth="1"/>
    <col min="1014" max="1014" width="12.77734375" style="125" customWidth="1"/>
    <col min="1015" max="1015" width="10.5546875" style="125" customWidth="1"/>
    <col min="1016" max="1016" width="10.88671875" style="125" customWidth="1"/>
    <col min="1017" max="1017" width="11.21875" style="125" customWidth="1"/>
    <col min="1018" max="1018" width="8.88671875" style="125"/>
    <col min="1019" max="1019" width="11.21875" style="125" customWidth="1"/>
    <col min="1020" max="1267" width="8.88671875" style="125"/>
    <col min="1268" max="1268" width="13.33203125" style="125" customWidth="1"/>
    <col min="1269" max="1269" width="9.5546875" style="125" customWidth="1"/>
    <col min="1270" max="1270" width="12.77734375" style="125" customWidth="1"/>
    <col min="1271" max="1271" width="10.5546875" style="125" customWidth="1"/>
    <col min="1272" max="1272" width="10.88671875" style="125" customWidth="1"/>
    <col min="1273" max="1273" width="11.21875" style="125" customWidth="1"/>
    <col min="1274" max="1274" width="8.88671875" style="125"/>
    <col min="1275" max="1275" width="11.21875" style="125" customWidth="1"/>
    <col min="1276" max="1523" width="8.88671875" style="125"/>
    <col min="1524" max="1524" width="13.33203125" style="125" customWidth="1"/>
    <col min="1525" max="1525" width="9.5546875" style="125" customWidth="1"/>
    <col min="1526" max="1526" width="12.77734375" style="125" customWidth="1"/>
    <col min="1527" max="1527" width="10.5546875" style="125" customWidth="1"/>
    <col min="1528" max="1528" width="10.88671875" style="125" customWidth="1"/>
    <col min="1529" max="1529" width="11.21875" style="125" customWidth="1"/>
    <col min="1530" max="1530" width="8.88671875" style="125"/>
    <col min="1531" max="1531" width="11.21875" style="125" customWidth="1"/>
    <col min="1532" max="1779" width="8.88671875" style="125"/>
    <col min="1780" max="1780" width="13.33203125" style="125" customWidth="1"/>
    <col min="1781" max="1781" width="9.5546875" style="125" customWidth="1"/>
    <col min="1782" max="1782" width="12.77734375" style="125" customWidth="1"/>
    <col min="1783" max="1783" width="10.5546875" style="125" customWidth="1"/>
    <col min="1784" max="1784" width="10.88671875" style="125" customWidth="1"/>
    <col min="1785" max="1785" width="11.21875" style="125" customWidth="1"/>
    <col min="1786" max="1786" width="8.88671875" style="125"/>
    <col min="1787" max="1787" width="11.21875" style="125" customWidth="1"/>
    <col min="1788" max="2035" width="8.88671875" style="125"/>
    <col min="2036" max="2036" width="13.33203125" style="125" customWidth="1"/>
    <col min="2037" max="2037" width="9.5546875" style="125" customWidth="1"/>
    <col min="2038" max="2038" width="12.77734375" style="125" customWidth="1"/>
    <col min="2039" max="2039" width="10.5546875" style="125" customWidth="1"/>
    <col min="2040" max="2040" width="10.88671875" style="125" customWidth="1"/>
    <col min="2041" max="2041" width="11.21875" style="125" customWidth="1"/>
    <col min="2042" max="2042" width="8.88671875" style="125"/>
    <col min="2043" max="2043" width="11.21875" style="125" customWidth="1"/>
    <col min="2044" max="2291" width="8.88671875" style="125"/>
    <col min="2292" max="2292" width="13.33203125" style="125" customWidth="1"/>
    <col min="2293" max="2293" width="9.5546875" style="125" customWidth="1"/>
    <col min="2294" max="2294" width="12.77734375" style="125" customWidth="1"/>
    <col min="2295" max="2295" width="10.5546875" style="125" customWidth="1"/>
    <col min="2296" max="2296" width="10.88671875" style="125" customWidth="1"/>
    <col min="2297" max="2297" width="11.21875" style="125" customWidth="1"/>
    <col min="2298" max="2298" width="8.88671875" style="125"/>
    <col min="2299" max="2299" width="11.21875" style="125" customWidth="1"/>
    <col min="2300" max="2547" width="8.88671875" style="125"/>
    <col min="2548" max="2548" width="13.33203125" style="125" customWidth="1"/>
    <col min="2549" max="2549" width="9.5546875" style="125" customWidth="1"/>
    <col min="2550" max="2550" width="12.77734375" style="125" customWidth="1"/>
    <col min="2551" max="2551" width="10.5546875" style="125" customWidth="1"/>
    <col min="2552" max="2552" width="10.88671875" style="125" customWidth="1"/>
    <col min="2553" max="2553" width="11.21875" style="125" customWidth="1"/>
    <col min="2554" max="2554" width="8.88671875" style="125"/>
    <col min="2555" max="2555" width="11.21875" style="125" customWidth="1"/>
    <col min="2556" max="2803" width="8.88671875" style="125"/>
    <col min="2804" max="2804" width="13.33203125" style="125" customWidth="1"/>
    <col min="2805" max="2805" width="9.5546875" style="125" customWidth="1"/>
    <col min="2806" max="2806" width="12.77734375" style="125" customWidth="1"/>
    <col min="2807" max="2807" width="10.5546875" style="125" customWidth="1"/>
    <col min="2808" max="2808" width="10.88671875" style="125" customWidth="1"/>
    <col min="2809" max="2809" width="11.21875" style="125" customWidth="1"/>
    <col min="2810" max="2810" width="8.88671875" style="125"/>
    <col min="2811" max="2811" width="11.21875" style="125" customWidth="1"/>
    <col min="2812" max="3059" width="8.88671875" style="125"/>
    <col min="3060" max="3060" width="13.33203125" style="125" customWidth="1"/>
    <col min="3061" max="3061" width="9.5546875" style="125" customWidth="1"/>
    <col min="3062" max="3062" width="12.77734375" style="125" customWidth="1"/>
    <col min="3063" max="3063" width="10.5546875" style="125" customWidth="1"/>
    <col min="3064" max="3064" width="10.88671875" style="125" customWidth="1"/>
    <col min="3065" max="3065" width="11.21875" style="125" customWidth="1"/>
    <col min="3066" max="3066" width="8.88671875" style="125"/>
    <col min="3067" max="3067" width="11.21875" style="125" customWidth="1"/>
    <col min="3068" max="3315" width="8.88671875" style="125"/>
    <col min="3316" max="3316" width="13.33203125" style="125" customWidth="1"/>
    <col min="3317" max="3317" width="9.5546875" style="125" customWidth="1"/>
    <col min="3318" max="3318" width="12.77734375" style="125" customWidth="1"/>
    <col min="3319" max="3319" width="10.5546875" style="125" customWidth="1"/>
    <col min="3320" max="3320" width="10.88671875" style="125" customWidth="1"/>
    <col min="3321" max="3321" width="11.21875" style="125" customWidth="1"/>
    <col min="3322" max="3322" width="8.88671875" style="125"/>
    <col min="3323" max="3323" width="11.21875" style="125" customWidth="1"/>
    <col min="3324" max="3571" width="8.88671875" style="125"/>
    <col min="3572" max="3572" width="13.33203125" style="125" customWidth="1"/>
    <col min="3573" max="3573" width="9.5546875" style="125" customWidth="1"/>
    <col min="3574" max="3574" width="12.77734375" style="125" customWidth="1"/>
    <col min="3575" max="3575" width="10.5546875" style="125" customWidth="1"/>
    <col min="3576" max="3576" width="10.88671875" style="125" customWidth="1"/>
    <col min="3577" max="3577" width="11.21875" style="125" customWidth="1"/>
    <col min="3578" max="3578" width="8.88671875" style="125"/>
    <col min="3579" max="3579" width="11.21875" style="125" customWidth="1"/>
    <col min="3580" max="3827" width="8.88671875" style="125"/>
    <col min="3828" max="3828" width="13.33203125" style="125" customWidth="1"/>
    <col min="3829" max="3829" width="9.5546875" style="125" customWidth="1"/>
    <col min="3830" max="3830" width="12.77734375" style="125" customWidth="1"/>
    <col min="3831" max="3831" width="10.5546875" style="125" customWidth="1"/>
    <col min="3832" max="3832" width="10.88671875" style="125" customWidth="1"/>
    <col min="3833" max="3833" width="11.21875" style="125" customWidth="1"/>
    <col min="3834" max="3834" width="8.88671875" style="125"/>
    <col min="3835" max="3835" width="11.21875" style="125" customWidth="1"/>
    <col min="3836" max="4083" width="8.88671875" style="125"/>
    <col min="4084" max="4084" width="13.33203125" style="125" customWidth="1"/>
    <col min="4085" max="4085" width="9.5546875" style="125" customWidth="1"/>
    <col min="4086" max="4086" width="12.77734375" style="125" customWidth="1"/>
    <col min="4087" max="4087" width="10.5546875" style="125" customWidth="1"/>
    <col min="4088" max="4088" width="10.88671875" style="125" customWidth="1"/>
    <col min="4089" max="4089" width="11.21875" style="125" customWidth="1"/>
    <col min="4090" max="4090" width="8.88671875" style="125"/>
    <col min="4091" max="4091" width="11.21875" style="125" customWidth="1"/>
    <col min="4092" max="4339" width="8.88671875" style="125"/>
    <col min="4340" max="4340" width="13.33203125" style="125" customWidth="1"/>
    <col min="4341" max="4341" width="9.5546875" style="125" customWidth="1"/>
    <col min="4342" max="4342" width="12.77734375" style="125" customWidth="1"/>
    <col min="4343" max="4343" width="10.5546875" style="125" customWidth="1"/>
    <col min="4344" max="4344" width="10.88671875" style="125" customWidth="1"/>
    <col min="4345" max="4345" width="11.21875" style="125" customWidth="1"/>
    <col min="4346" max="4346" width="8.88671875" style="125"/>
    <col min="4347" max="4347" width="11.21875" style="125" customWidth="1"/>
    <col min="4348" max="4595" width="8.88671875" style="125"/>
    <col min="4596" max="4596" width="13.33203125" style="125" customWidth="1"/>
    <col min="4597" max="4597" width="9.5546875" style="125" customWidth="1"/>
    <col min="4598" max="4598" width="12.77734375" style="125" customWidth="1"/>
    <col min="4599" max="4599" width="10.5546875" style="125" customWidth="1"/>
    <col min="4600" max="4600" width="10.88671875" style="125" customWidth="1"/>
    <col min="4601" max="4601" width="11.21875" style="125" customWidth="1"/>
    <col min="4602" max="4602" width="8.88671875" style="125"/>
    <col min="4603" max="4603" width="11.21875" style="125" customWidth="1"/>
    <col min="4604" max="4851" width="8.88671875" style="125"/>
    <col min="4852" max="4852" width="13.33203125" style="125" customWidth="1"/>
    <col min="4853" max="4853" width="9.5546875" style="125" customWidth="1"/>
    <col min="4854" max="4854" width="12.77734375" style="125" customWidth="1"/>
    <col min="4855" max="4855" width="10.5546875" style="125" customWidth="1"/>
    <col min="4856" max="4856" width="10.88671875" style="125" customWidth="1"/>
    <col min="4857" max="4857" width="11.21875" style="125" customWidth="1"/>
    <col min="4858" max="4858" width="8.88671875" style="125"/>
    <col min="4859" max="4859" width="11.21875" style="125" customWidth="1"/>
    <col min="4860" max="5107" width="8.88671875" style="125"/>
    <col min="5108" max="5108" width="13.33203125" style="125" customWidth="1"/>
    <col min="5109" max="5109" width="9.5546875" style="125" customWidth="1"/>
    <col min="5110" max="5110" width="12.77734375" style="125" customWidth="1"/>
    <col min="5111" max="5111" width="10.5546875" style="125" customWidth="1"/>
    <col min="5112" max="5112" width="10.88671875" style="125" customWidth="1"/>
    <col min="5113" max="5113" width="11.21875" style="125" customWidth="1"/>
    <col min="5114" max="5114" width="8.88671875" style="125"/>
    <col min="5115" max="5115" width="11.21875" style="125" customWidth="1"/>
    <col min="5116" max="5363" width="8.88671875" style="125"/>
    <col min="5364" max="5364" width="13.33203125" style="125" customWidth="1"/>
    <col min="5365" max="5365" width="9.5546875" style="125" customWidth="1"/>
    <col min="5366" max="5366" width="12.77734375" style="125" customWidth="1"/>
    <col min="5367" max="5367" width="10.5546875" style="125" customWidth="1"/>
    <col min="5368" max="5368" width="10.88671875" style="125" customWidth="1"/>
    <col min="5369" max="5369" width="11.21875" style="125" customWidth="1"/>
    <col min="5370" max="5370" width="8.88671875" style="125"/>
    <col min="5371" max="5371" width="11.21875" style="125" customWidth="1"/>
    <col min="5372" max="5619" width="8.88671875" style="125"/>
    <col min="5620" max="5620" width="13.33203125" style="125" customWidth="1"/>
    <col min="5621" max="5621" width="9.5546875" style="125" customWidth="1"/>
    <col min="5622" max="5622" width="12.77734375" style="125" customWidth="1"/>
    <col min="5623" max="5623" width="10.5546875" style="125" customWidth="1"/>
    <col min="5624" max="5624" width="10.88671875" style="125" customWidth="1"/>
    <col min="5625" max="5625" width="11.21875" style="125" customWidth="1"/>
    <col min="5626" max="5626" width="8.88671875" style="125"/>
    <col min="5627" max="5627" width="11.21875" style="125" customWidth="1"/>
    <col min="5628" max="5875" width="8.88671875" style="125"/>
    <col min="5876" max="5876" width="13.33203125" style="125" customWidth="1"/>
    <col min="5877" max="5877" width="9.5546875" style="125" customWidth="1"/>
    <col min="5878" max="5878" width="12.77734375" style="125" customWidth="1"/>
    <col min="5879" max="5879" width="10.5546875" style="125" customWidth="1"/>
    <col min="5880" max="5880" width="10.88671875" style="125" customWidth="1"/>
    <col min="5881" max="5881" width="11.21875" style="125" customWidth="1"/>
    <col min="5882" max="5882" width="8.88671875" style="125"/>
    <col min="5883" max="5883" width="11.21875" style="125" customWidth="1"/>
    <col min="5884" max="6131" width="8.88671875" style="125"/>
    <col min="6132" max="6132" width="13.33203125" style="125" customWidth="1"/>
    <col min="6133" max="6133" width="9.5546875" style="125" customWidth="1"/>
    <col min="6134" max="6134" width="12.77734375" style="125" customWidth="1"/>
    <col min="6135" max="6135" width="10.5546875" style="125" customWidth="1"/>
    <col min="6136" max="6136" width="10.88671875" style="125" customWidth="1"/>
    <col min="6137" max="6137" width="11.21875" style="125" customWidth="1"/>
    <col min="6138" max="6138" width="8.88671875" style="125"/>
    <col min="6139" max="6139" width="11.21875" style="125" customWidth="1"/>
    <col min="6140" max="6387" width="8.88671875" style="125"/>
    <col min="6388" max="6388" width="13.33203125" style="125" customWidth="1"/>
    <col min="6389" max="6389" width="9.5546875" style="125" customWidth="1"/>
    <col min="6390" max="6390" width="12.77734375" style="125" customWidth="1"/>
    <col min="6391" max="6391" width="10.5546875" style="125" customWidth="1"/>
    <col min="6392" max="6392" width="10.88671875" style="125" customWidth="1"/>
    <col min="6393" max="6393" width="11.21875" style="125" customWidth="1"/>
    <col min="6394" max="6394" width="8.88671875" style="125"/>
    <col min="6395" max="6395" width="11.21875" style="125" customWidth="1"/>
    <col min="6396" max="6643" width="8.88671875" style="125"/>
    <col min="6644" max="6644" width="13.33203125" style="125" customWidth="1"/>
    <col min="6645" max="6645" width="9.5546875" style="125" customWidth="1"/>
    <col min="6646" max="6646" width="12.77734375" style="125" customWidth="1"/>
    <col min="6647" max="6647" width="10.5546875" style="125" customWidth="1"/>
    <col min="6648" max="6648" width="10.88671875" style="125" customWidth="1"/>
    <col min="6649" max="6649" width="11.21875" style="125" customWidth="1"/>
    <col min="6650" max="6650" width="8.88671875" style="125"/>
    <col min="6651" max="6651" width="11.21875" style="125" customWidth="1"/>
    <col min="6652" max="6899" width="8.88671875" style="125"/>
    <col min="6900" max="6900" width="13.33203125" style="125" customWidth="1"/>
    <col min="6901" max="6901" width="9.5546875" style="125" customWidth="1"/>
    <col min="6902" max="6902" width="12.77734375" style="125" customWidth="1"/>
    <col min="6903" max="6903" width="10.5546875" style="125" customWidth="1"/>
    <col min="6904" max="6904" width="10.88671875" style="125" customWidth="1"/>
    <col min="6905" max="6905" width="11.21875" style="125" customWidth="1"/>
    <col min="6906" max="6906" width="8.88671875" style="125"/>
    <col min="6907" max="6907" width="11.21875" style="125" customWidth="1"/>
    <col min="6908" max="7155" width="8.88671875" style="125"/>
    <col min="7156" max="7156" width="13.33203125" style="125" customWidth="1"/>
    <col min="7157" max="7157" width="9.5546875" style="125" customWidth="1"/>
    <col min="7158" max="7158" width="12.77734375" style="125" customWidth="1"/>
    <col min="7159" max="7159" width="10.5546875" style="125" customWidth="1"/>
    <col min="7160" max="7160" width="10.88671875" style="125" customWidth="1"/>
    <col min="7161" max="7161" width="11.21875" style="125" customWidth="1"/>
    <col min="7162" max="7162" width="8.88671875" style="125"/>
    <col min="7163" max="7163" width="11.21875" style="125" customWidth="1"/>
    <col min="7164" max="7411" width="8.88671875" style="125"/>
    <col min="7412" max="7412" width="13.33203125" style="125" customWidth="1"/>
    <col min="7413" max="7413" width="9.5546875" style="125" customWidth="1"/>
    <col min="7414" max="7414" width="12.77734375" style="125" customWidth="1"/>
    <col min="7415" max="7415" width="10.5546875" style="125" customWidth="1"/>
    <col min="7416" max="7416" width="10.88671875" style="125" customWidth="1"/>
    <col min="7417" max="7417" width="11.21875" style="125" customWidth="1"/>
    <col min="7418" max="7418" width="8.88671875" style="125"/>
    <col min="7419" max="7419" width="11.21875" style="125" customWidth="1"/>
    <col min="7420" max="7667" width="8.88671875" style="125"/>
    <col min="7668" max="7668" width="13.33203125" style="125" customWidth="1"/>
    <col min="7669" max="7669" width="9.5546875" style="125" customWidth="1"/>
    <col min="7670" max="7670" width="12.77734375" style="125" customWidth="1"/>
    <col min="7671" max="7671" width="10.5546875" style="125" customWidth="1"/>
    <col min="7672" max="7672" width="10.88671875" style="125" customWidth="1"/>
    <col min="7673" max="7673" width="11.21875" style="125" customWidth="1"/>
    <col min="7674" max="7674" width="8.88671875" style="125"/>
    <col min="7675" max="7675" width="11.21875" style="125" customWidth="1"/>
    <col min="7676" max="7923" width="8.88671875" style="125"/>
    <col min="7924" max="7924" width="13.33203125" style="125" customWidth="1"/>
    <col min="7925" max="7925" width="9.5546875" style="125" customWidth="1"/>
    <col min="7926" max="7926" width="12.77734375" style="125" customWidth="1"/>
    <col min="7927" max="7927" width="10.5546875" style="125" customWidth="1"/>
    <col min="7928" max="7928" width="10.88671875" style="125" customWidth="1"/>
    <col min="7929" max="7929" width="11.21875" style="125" customWidth="1"/>
    <col min="7930" max="7930" width="8.88671875" style="125"/>
    <col min="7931" max="7931" width="11.21875" style="125" customWidth="1"/>
    <col min="7932" max="8179" width="8.88671875" style="125"/>
    <col min="8180" max="8180" width="13.33203125" style="125" customWidth="1"/>
    <col min="8181" max="8181" width="9.5546875" style="125" customWidth="1"/>
    <col min="8182" max="8182" width="12.77734375" style="125" customWidth="1"/>
    <col min="8183" max="8183" width="10.5546875" style="125" customWidth="1"/>
    <col min="8184" max="8184" width="10.88671875" style="125" customWidth="1"/>
    <col min="8185" max="8185" width="11.21875" style="125" customWidth="1"/>
    <col min="8186" max="8186" width="8.88671875" style="125"/>
    <col min="8187" max="8187" width="11.21875" style="125" customWidth="1"/>
    <col min="8188" max="8435" width="8.88671875" style="125"/>
    <col min="8436" max="8436" width="13.33203125" style="125" customWidth="1"/>
    <col min="8437" max="8437" width="9.5546875" style="125" customWidth="1"/>
    <col min="8438" max="8438" width="12.77734375" style="125" customWidth="1"/>
    <col min="8439" max="8439" width="10.5546875" style="125" customWidth="1"/>
    <col min="8440" max="8440" width="10.88671875" style="125" customWidth="1"/>
    <col min="8441" max="8441" width="11.21875" style="125" customWidth="1"/>
    <col min="8442" max="8442" width="8.88671875" style="125"/>
    <col min="8443" max="8443" width="11.21875" style="125" customWidth="1"/>
    <col min="8444" max="8691" width="8.88671875" style="125"/>
    <col min="8692" max="8692" width="13.33203125" style="125" customWidth="1"/>
    <col min="8693" max="8693" width="9.5546875" style="125" customWidth="1"/>
    <col min="8694" max="8694" width="12.77734375" style="125" customWidth="1"/>
    <col min="8695" max="8695" width="10.5546875" style="125" customWidth="1"/>
    <col min="8696" max="8696" width="10.88671875" style="125" customWidth="1"/>
    <col min="8697" max="8697" width="11.21875" style="125" customWidth="1"/>
    <col min="8698" max="8698" width="8.88671875" style="125"/>
    <col min="8699" max="8699" width="11.21875" style="125" customWidth="1"/>
    <col min="8700" max="8947" width="8.88671875" style="125"/>
    <col min="8948" max="8948" width="13.33203125" style="125" customWidth="1"/>
    <col min="8949" max="8949" width="9.5546875" style="125" customWidth="1"/>
    <col min="8950" max="8950" width="12.77734375" style="125" customWidth="1"/>
    <col min="8951" max="8951" width="10.5546875" style="125" customWidth="1"/>
    <col min="8952" max="8952" width="10.88671875" style="125" customWidth="1"/>
    <col min="8953" max="8953" width="11.21875" style="125" customWidth="1"/>
    <col min="8954" max="8954" width="8.88671875" style="125"/>
    <col min="8955" max="8955" width="11.21875" style="125" customWidth="1"/>
    <col min="8956" max="9203" width="8.88671875" style="125"/>
    <col min="9204" max="9204" width="13.33203125" style="125" customWidth="1"/>
    <col min="9205" max="9205" width="9.5546875" style="125" customWidth="1"/>
    <col min="9206" max="9206" width="12.77734375" style="125" customWidth="1"/>
    <col min="9207" max="9207" width="10.5546875" style="125" customWidth="1"/>
    <col min="9208" max="9208" width="10.88671875" style="125" customWidth="1"/>
    <col min="9209" max="9209" width="11.21875" style="125" customWidth="1"/>
    <col min="9210" max="9210" width="8.88671875" style="125"/>
    <col min="9211" max="9211" width="11.21875" style="125" customWidth="1"/>
    <col min="9212" max="9459" width="8.88671875" style="125"/>
    <col min="9460" max="9460" width="13.33203125" style="125" customWidth="1"/>
    <col min="9461" max="9461" width="9.5546875" style="125" customWidth="1"/>
    <col min="9462" max="9462" width="12.77734375" style="125" customWidth="1"/>
    <col min="9463" max="9463" width="10.5546875" style="125" customWidth="1"/>
    <col min="9464" max="9464" width="10.88671875" style="125" customWidth="1"/>
    <col min="9465" max="9465" width="11.21875" style="125" customWidth="1"/>
    <col min="9466" max="9466" width="8.88671875" style="125"/>
    <col min="9467" max="9467" width="11.21875" style="125" customWidth="1"/>
    <col min="9468" max="9715" width="8.88671875" style="125"/>
    <col min="9716" max="9716" width="13.33203125" style="125" customWidth="1"/>
    <col min="9717" max="9717" width="9.5546875" style="125" customWidth="1"/>
    <col min="9718" max="9718" width="12.77734375" style="125" customWidth="1"/>
    <col min="9719" max="9719" width="10.5546875" style="125" customWidth="1"/>
    <col min="9720" max="9720" width="10.88671875" style="125" customWidth="1"/>
    <col min="9721" max="9721" width="11.21875" style="125" customWidth="1"/>
    <col min="9722" max="9722" width="8.88671875" style="125"/>
    <col min="9723" max="9723" width="11.21875" style="125" customWidth="1"/>
    <col min="9724" max="9971" width="8.88671875" style="125"/>
    <col min="9972" max="9972" width="13.33203125" style="125" customWidth="1"/>
    <col min="9973" max="9973" width="9.5546875" style="125" customWidth="1"/>
    <col min="9974" max="9974" width="12.77734375" style="125" customWidth="1"/>
    <col min="9975" max="9975" width="10.5546875" style="125" customWidth="1"/>
    <col min="9976" max="9976" width="10.88671875" style="125" customWidth="1"/>
    <col min="9977" max="9977" width="11.21875" style="125" customWidth="1"/>
    <col min="9978" max="9978" width="8.88671875" style="125"/>
    <col min="9979" max="9979" width="11.21875" style="125" customWidth="1"/>
    <col min="9980" max="10227" width="8.88671875" style="125"/>
    <col min="10228" max="10228" width="13.33203125" style="125" customWidth="1"/>
    <col min="10229" max="10229" width="9.5546875" style="125" customWidth="1"/>
    <col min="10230" max="10230" width="12.77734375" style="125" customWidth="1"/>
    <col min="10231" max="10231" width="10.5546875" style="125" customWidth="1"/>
    <col min="10232" max="10232" width="10.88671875" style="125" customWidth="1"/>
    <col min="10233" max="10233" width="11.21875" style="125" customWidth="1"/>
    <col min="10234" max="10234" width="8.88671875" style="125"/>
    <col min="10235" max="10235" width="11.21875" style="125" customWidth="1"/>
    <col min="10236" max="10483" width="8.88671875" style="125"/>
    <col min="10484" max="10484" width="13.33203125" style="125" customWidth="1"/>
    <col min="10485" max="10485" width="9.5546875" style="125" customWidth="1"/>
    <col min="10486" max="10486" width="12.77734375" style="125" customWidth="1"/>
    <col min="10487" max="10487" width="10.5546875" style="125" customWidth="1"/>
    <col min="10488" max="10488" width="10.88671875" style="125" customWidth="1"/>
    <col min="10489" max="10489" width="11.21875" style="125" customWidth="1"/>
    <col min="10490" max="10490" width="8.88671875" style="125"/>
    <col min="10491" max="10491" width="11.21875" style="125" customWidth="1"/>
    <col min="10492" max="10739" width="8.88671875" style="125"/>
    <col min="10740" max="10740" width="13.33203125" style="125" customWidth="1"/>
    <col min="10741" max="10741" width="9.5546875" style="125" customWidth="1"/>
    <col min="10742" max="10742" width="12.77734375" style="125" customWidth="1"/>
    <col min="10743" max="10743" width="10.5546875" style="125" customWidth="1"/>
    <col min="10744" max="10744" width="10.88671875" style="125" customWidth="1"/>
    <col min="10745" max="10745" width="11.21875" style="125" customWidth="1"/>
    <col min="10746" max="10746" width="8.88671875" style="125"/>
    <col min="10747" max="10747" width="11.21875" style="125" customWidth="1"/>
    <col min="10748" max="10995" width="8.88671875" style="125"/>
    <col min="10996" max="10996" width="13.33203125" style="125" customWidth="1"/>
    <col min="10997" max="10997" width="9.5546875" style="125" customWidth="1"/>
    <col min="10998" max="10998" width="12.77734375" style="125" customWidth="1"/>
    <col min="10999" max="10999" width="10.5546875" style="125" customWidth="1"/>
    <col min="11000" max="11000" width="10.88671875" style="125" customWidth="1"/>
    <col min="11001" max="11001" width="11.21875" style="125" customWidth="1"/>
    <col min="11002" max="11002" width="8.88671875" style="125"/>
    <col min="11003" max="11003" width="11.21875" style="125" customWidth="1"/>
    <col min="11004" max="11251" width="8.88671875" style="125"/>
    <col min="11252" max="11252" width="13.33203125" style="125" customWidth="1"/>
    <col min="11253" max="11253" width="9.5546875" style="125" customWidth="1"/>
    <col min="11254" max="11254" width="12.77734375" style="125" customWidth="1"/>
    <col min="11255" max="11255" width="10.5546875" style="125" customWidth="1"/>
    <col min="11256" max="11256" width="10.88671875" style="125" customWidth="1"/>
    <col min="11257" max="11257" width="11.21875" style="125" customWidth="1"/>
    <col min="11258" max="11258" width="8.88671875" style="125"/>
    <col min="11259" max="11259" width="11.21875" style="125" customWidth="1"/>
    <col min="11260" max="11507" width="8.88671875" style="125"/>
    <col min="11508" max="11508" width="13.33203125" style="125" customWidth="1"/>
    <col min="11509" max="11509" width="9.5546875" style="125" customWidth="1"/>
    <col min="11510" max="11510" width="12.77734375" style="125" customWidth="1"/>
    <col min="11511" max="11511" width="10.5546875" style="125" customWidth="1"/>
    <col min="11512" max="11512" width="10.88671875" style="125" customWidth="1"/>
    <col min="11513" max="11513" width="11.21875" style="125" customWidth="1"/>
    <col min="11514" max="11514" width="8.88671875" style="125"/>
    <col min="11515" max="11515" width="11.21875" style="125" customWidth="1"/>
    <col min="11516" max="11763" width="8.88671875" style="125"/>
    <col min="11764" max="11764" width="13.33203125" style="125" customWidth="1"/>
    <col min="11765" max="11765" width="9.5546875" style="125" customWidth="1"/>
    <col min="11766" max="11766" width="12.77734375" style="125" customWidth="1"/>
    <col min="11767" max="11767" width="10.5546875" style="125" customWidth="1"/>
    <col min="11768" max="11768" width="10.88671875" style="125" customWidth="1"/>
    <col min="11769" max="11769" width="11.21875" style="125" customWidth="1"/>
    <col min="11770" max="11770" width="8.88671875" style="125"/>
    <col min="11771" max="11771" width="11.21875" style="125" customWidth="1"/>
    <col min="11772" max="12019" width="8.88671875" style="125"/>
    <col min="12020" max="12020" width="13.33203125" style="125" customWidth="1"/>
    <col min="12021" max="12021" width="9.5546875" style="125" customWidth="1"/>
    <col min="12022" max="12022" width="12.77734375" style="125" customWidth="1"/>
    <col min="12023" max="12023" width="10.5546875" style="125" customWidth="1"/>
    <col min="12024" max="12024" width="10.88671875" style="125" customWidth="1"/>
    <col min="12025" max="12025" width="11.21875" style="125" customWidth="1"/>
    <col min="12026" max="12026" width="8.88671875" style="125"/>
    <col min="12027" max="12027" width="11.21875" style="125" customWidth="1"/>
    <col min="12028" max="12275" width="8.88671875" style="125"/>
    <col min="12276" max="12276" width="13.33203125" style="125" customWidth="1"/>
    <col min="12277" max="12277" width="9.5546875" style="125" customWidth="1"/>
    <col min="12278" max="12278" width="12.77734375" style="125" customWidth="1"/>
    <col min="12279" max="12279" width="10.5546875" style="125" customWidth="1"/>
    <col min="12280" max="12280" width="10.88671875" style="125" customWidth="1"/>
    <col min="12281" max="12281" width="11.21875" style="125" customWidth="1"/>
    <col min="12282" max="12282" width="8.88671875" style="125"/>
    <col min="12283" max="12283" width="11.21875" style="125" customWidth="1"/>
    <col min="12284" max="12531" width="8.88671875" style="125"/>
    <col min="12532" max="12532" width="13.33203125" style="125" customWidth="1"/>
    <col min="12533" max="12533" width="9.5546875" style="125" customWidth="1"/>
    <col min="12534" max="12534" width="12.77734375" style="125" customWidth="1"/>
    <col min="12535" max="12535" width="10.5546875" style="125" customWidth="1"/>
    <col min="12536" max="12536" width="10.88671875" style="125" customWidth="1"/>
    <col min="12537" max="12537" width="11.21875" style="125" customWidth="1"/>
    <col min="12538" max="12538" width="8.88671875" style="125"/>
    <col min="12539" max="12539" width="11.21875" style="125" customWidth="1"/>
    <col min="12540" max="12787" width="8.88671875" style="125"/>
    <col min="12788" max="12788" width="13.33203125" style="125" customWidth="1"/>
    <col min="12789" max="12789" width="9.5546875" style="125" customWidth="1"/>
    <col min="12790" max="12790" width="12.77734375" style="125" customWidth="1"/>
    <col min="12791" max="12791" width="10.5546875" style="125" customWidth="1"/>
    <col min="12792" max="12792" width="10.88671875" style="125" customWidth="1"/>
    <col min="12793" max="12793" width="11.21875" style="125" customWidth="1"/>
    <col min="12794" max="12794" width="8.88671875" style="125"/>
    <col min="12795" max="12795" width="11.21875" style="125" customWidth="1"/>
    <col min="12796" max="13043" width="8.88671875" style="125"/>
    <col min="13044" max="13044" width="13.33203125" style="125" customWidth="1"/>
    <col min="13045" max="13045" width="9.5546875" style="125" customWidth="1"/>
    <col min="13046" max="13046" width="12.77734375" style="125" customWidth="1"/>
    <col min="13047" max="13047" width="10.5546875" style="125" customWidth="1"/>
    <col min="13048" max="13048" width="10.88671875" style="125" customWidth="1"/>
    <col min="13049" max="13049" width="11.21875" style="125" customWidth="1"/>
    <col min="13050" max="13050" width="8.88671875" style="125"/>
    <col min="13051" max="13051" width="11.21875" style="125" customWidth="1"/>
    <col min="13052" max="13299" width="8.88671875" style="125"/>
    <col min="13300" max="13300" width="13.33203125" style="125" customWidth="1"/>
    <col min="13301" max="13301" width="9.5546875" style="125" customWidth="1"/>
    <col min="13302" max="13302" width="12.77734375" style="125" customWidth="1"/>
    <col min="13303" max="13303" width="10.5546875" style="125" customWidth="1"/>
    <col min="13304" max="13304" width="10.88671875" style="125" customWidth="1"/>
    <col min="13305" max="13305" width="11.21875" style="125" customWidth="1"/>
    <col min="13306" max="13306" width="8.88671875" style="125"/>
    <col min="13307" max="13307" width="11.21875" style="125" customWidth="1"/>
    <col min="13308" max="13555" width="8.88671875" style="125"/>
    <col min="13556" max="13556" width="13.33203125" style="125" customWidth="1"/>
    <col min="13557" max="13557" width="9.5546875" style="125" customWidth="1"/>
    <col min="13558" max="13558" width="12.77734375" style="125" customWidth="1"/>
    <col min="13559" max="13559" width="10.5546875" style="125" customWidth="1"/>
    <col min="13560" max="13560" width="10.88671875" style="125" customWidth="1"/>
    <col min="13561" max="13561" width="11.21875" style="125" customWidth="1"/>
    <col min="13562" max="13562" width="8.88671875" style="125"/>
    <col min="13563" max="13563" width="11.21875" style="125" customWidth="1"/>
    <col min="13564" max="13811" width="8.88671875" style="125"/>
    <col min="13812" max="13812" width="13.33203125" style="125" customWidth="1"/>
    <col min="13813" max="13813" width="9.5546875" style="125" customWidth="1"/>
    <col min="13814" max="13814" width="12.77734375" style="125" customWidth="1"/>
    <col min="13815" max="13815" width="10.5546875" style="125" customWidth="1"/>
    <col min="13816" max="13816" width="10.88671875" style="125" customWidth="1"/>
    <col min="13817" max="13817" width="11.21875" style="125" customWidth="1"/>
    <col min="13818" max="13818" width="8.88671875" style="125"/>
    <col min="13819" max="13819" width="11.21875" style="125" customWidth="1"/>
    <col min="13820" max="14067" width="8.88671875" style="125"/>
    <col min="14068" max="14068" width="13.33203125" style="125" customWidth="1"/>
    <col min="14069" max="14069" width="9.5546875" style="125" customWidth="1"/>
    <col min="14070" max="14070" width="12.77734375" style="125" customWidth="1"/>
    <col min="14071" max="14071" width="10.5546875" style="125" customWidth="1"/>
    <col min="14072" max="14072" width="10.88671875" style="125" customWidth="1"/>
    <col min="14073" max="14073" width="11.21875" style="125" customWidth="1"/>
    <col min="14074" max="14074" width="8.88671875" style="125"/>
    <col min="14075" max="14075" width="11.21875" style="125" customWidth="1"/>
    <col min="14076" max="14323" width="8.88671875" style="125"/>
    <col min="14324" max="14324" width="13.33203125" style="125" customWidth="1"/>
    <col min="14325" max="14325" width="9.5546875" style="125" customWidth="1"/>
    <col min="14326" max="14326" width="12.77734375" style="125" customWidth="1"/>
    <col min="14327" max="14327" width="10.5546875" style="125" customWidth="1"/>
    <col min="14328" max="14328" width="10.88671875" style="125" customWidth="1"/>
    <col min="14329" max="14329" width="11.21875" style="125" customWidth="1"/>
    <col min="14330" max="14330" width="8.88671875" style="125"/>
    <col min="14331" max="14331" width="11.21875" style="125" customWidth="1"/>
    <col min="14332" max="14579" width="8.88671875" style="125"/>
    <col min="14580" max="14580" width="13.33203125" style="125" customWidth="1"/>
    <col min="14581" max="14581" width="9.5546875" style="125" customWidth="1"/>
    <col min="14582" max="14582" width="12.77734375" style="125" customWidth="1"/>
    <col min="14583" max="14583" width="10.5546875" style="125" customWidth="1"/>
    <col min="14584" max="14584" width="10.88671875" style="125" customWidth="1"/>
    <col min="14585" max="14585" width="11.21875" style="125" customWidth="1"/>
    <col min="14586" max="14586" width="8.88671875" style="125"/>
    <col min="14587" max="14587" width="11.21875" style="125" customWidth="1"/>
    <col min="14588" max="14835" width="8.88671875" style="125"/>
    <col min="14836" max="14836" width="13.33203125" style="125" customWidth="1"/>
    <col min="14837" max="14837" width="9.5546875" style="125" customWidth="1"/>
    <col min="14838" max="14838" width="12.77734375" style="125" customWidth="1"/>
    <col min="14839" max="14839" width="10.5546875" style="125" customWidth="1"/>
    <col min="14840" max="14840" width="10.88671875" style="125" customWidth="1"/>
    <col min="14841" max="14841" width="11.21875" style="125" customWidth="1"/>
    <col min="14842" max="14842" width="8.88671875" style="125"/>
    <col min="14843" max="14843" width="11.21875" style="125" customWidth="1"/>
    <col min="14844" max="15091" width="8.88671875" style="125"/>
    <col min="15092" max="15092" width="13.33203125" style="125" customWidth="1"/>
    <col min="15093" max="15093" width="9.5546875" style="125" customWidth="1"/>
    <col min="15094" max="15094" width="12.77734375" style="125" customWidth="1"/>
    <col min="15095" max="15095" width="10.5546875" style="125" customWidth="1"/>
    <col min="15096" max="15096" width="10.88671875" style="125" customWidth="1"/>
    <col min="15097" max="15097" width="11.21875" style="125" customWidth="1"/>
    <col min="15098" max="15098" width="8.88671875" style="125"/>
    <col min="15099" max="15099" width="11.21875" style="125" customWidth="1"/>
    <col min="15100" max="15347" width="8.88671875" style="125"/>
    <col min="15348" max="15348" width="13.33203125" style="125" customWidth="1"/>
    <col min="15349" max="15349" width="9.5546875" style="125" customWidth="1"/>
    <col min="15350" max="15350" width="12.77734375" style="125" customWidth="1"/>
    <col min="15351" max="15351" width="10.5546875" style="125" customWidth="1"/>
    <col min="15352" max="15352" width="10.88671875" style="125" customWidth="1"/>
    <col min="15353" max="15353" width="11.21875" style="125" customWidth="1"/>
    <col min="15354" max="15354" width="8.88671875" style="125"/>
    <col min="15355" max="15355" width="11.21875" style="125" customWidth="1"/>
    <col min="15356" max="15603" width="8.88671875" style="125"/>
    <col min="15604" max="15604" width="13.33203125" style="125" customWidth="1"/>
    <col min="15605" max="15605" width="9.5546875" style="125" customWidth="1"/>
    <col min="15606" max="15606" width="12.77734375" style="125" customWidth="1"/>
    <col min="15607" max="15607" width="10.5546875" style="125" customWidth="1"/>
    <col min="15608" max="15608" width="10.88671875" style="125" customWidth="1"/>
    <col min="15609" max="15609" width="11.21875" style="125" customWidth="1"/>
    <col min="15610" max="15610" width="8.88671875" style="125"/>
    <col min="15611" max="15611" width="11.21875" style="125" customWidth="1"/>
    <col min="15612" max="15859" width="8.88671875" style="125"/>
    <col min="15860" max="15860" width="13.33203125" style="125" customWidth="1"/>
    <col min="15861" max="15861" width="9.5546875" style="125" customWidth="1"/>
    <col min="15862" max="15862" width="12.77734375" style="125" customWidth="1"/>
    <col min="15863" max="15863" width="10.5546875" style="125" customWidth="1"/>
    <col min="15864" max="15864" width="10.88671875" style="125" customWidth="1"/>
    <col min="15865" max="15865" width="11.21875" style="125" customWidth="1"/>
    <col min="15866" max="15866" width="8.88671875" style="125"/>
    <col min="15867" max="15867" width="11.21875" style="125" customWidth="1"/>
    <col min="15868" max="16115" width="8.88671875" style="125"/>
    <col min="16116" max="16116" width="13.33203125" style="125" customWidth="1"/>
    <col min="16117" max="16117" width="9.5546875" style="125" customWidth="1"/>
    <col min="16118" max="16118" width="12.77734375" style="125" customWidth="1"/>
    <col min="16119" max="16119" width="10.5546875" style="125" customWidth="1"/>
    <col min="16120" max="16120" width="10.88671875" style="125" customWidth="1"/>
    <col min="16121" max="16121" width="11.21875" style="125" customWidth="1"/>
    <col min="16122" max="16122" width="8.88671875" style="125"/>
    <col min="16123" max="16123" width="11.21875" style="125" customWidth="1"/>
    <col min="16124" max="16384" width="8.88671875" style="125"/>
  </cols>
  <sheetData>
    <row r="1" spans="1:7" s="135" customFormat="1" ht="24.75" hidden="1" customHeight="1" x14ac:dyDescent="0.3">
      <c r="A1" s="139"/>
      <c r="D1" s="138" t="s">
        <v>70</v>
      </c>
      <c r="E1" s="138"/>
      <c r="F1" s="138"/>
    </row>
    <row r="2" spans="1:7" s="135" customFormat="1" ht="18" hidden="1" customHeight="1" x14ac:dyDescent="0.3">
      <c r="D2" s="136" t="s">
        <v>69</v>
      </c>
      <c r="E2" s="136"/>
      <c r="F2" s="136"/>
    </row>
    <row r="3" spans="1:7" s="135" customFormat="1" ht="18" hidden="1" customHeight="1" x14ac:dyDescent="0.3">
      <c r="D3" s="136" t="s">
        <v>68</v>
      </c>
      <c r="E3" s="136"/>
      <c r="F3" s="136"/>
      <c r="G3" s="137"/>
    </row>
    <row r="4" spans="1:7" s="135" customFormat="1" ht="20.45" hidden="1" customHeight="1" x14ac:dyDescent="0.3">
      <c r="D4" s="136" t="s">
        <v>67</v>
      </c>
      <c r="E4" s="136"/>
      <c r="F4" s="136"/>
    </row>
    <row r="5" spans="1:7" ht="23.25" x14ac:dyDescent="0.35">
      <c r="D5" s="134" t="str">
        <f>'[2]пило(350 руб.-20%)'!E12</f>
        <v>вводится с 09.02.2023 года</v>
      </c>
      <c r="E5" s="134"/>
      <c r="F5" s="134"/>
      <c r="G5" s="15"/>
    </row>
    <row r="7" spans="1:7" ht="24.6" customHeight="1" x14ac:dyDescent="0.3">
      <c r="A7" s="106" t="s">
        <v>21</v>
      </c>
      <c r="B7" s="106"/>
      <c r="C7" s="106"/>
      <c r="D7" s="106"/>
      <c r="E7" s="106"/>
      <c r="F7" s="106"/>
    </row>
    <row r="8" spans="1:7" ht="24.6" customHeight="1" x14ac:dyDescent="0.3">
      <c r="A8" s="105" t="s">
        <v>66</v>
      </c>
      <c r="B8" s="105"/>
      <c r="C8" s="105"/>
      <c r="D8" s="105"/>
      <c r="E8" s="105"/>
      <c r="F8" s="105"/>
    </row>
    <row r="9" spans="1:7" ht="107.25" customHeight="1" x14ac:dyDescent="0.2">
      <c r="A9" s="133" t="s">
        <v>65</v>
      </c>
      <c r="B9" s="133"/>
      <c r="C9" s="133"/>
      <c r="D9" s="133"/>
      <c r="E9" s="133"/>
      <c r="F9" s="133"/>
    </row>
    <row r="10" spans="1:7" ht="40.5" customHeight="1" x14ac:dyDescent="0.2">
      <c r="A10" s="133" t="s">
        <v>64</v>
      </c>
      <c r="B10" s="133"/>
      <c r="C10" s="133"/>
      <c r="D10" s="133"/>
      <c r="E10" s="133"/>
      <c r="F10" s="133"/>
    </row>
    <row r="11" spans="1:7" ht="26.25" customHeight="1" x14ac:dyDescent="0.2">
      <c r="A11" s="133" t="s">
        <v>63</v>
      </c>
      <c r="B11" s="133"/>
      <c r="C11" s="133"/>
      <c r="D11" s="133"/>
      <c r="E11" s="133"/>
      <c r="F11" s="133"/>
    </row>
    <row r="12" spans="1:7" ht="24.6" customHeight="1" x14ac:dyDescent="0.25">
      <c r="A12" s="120" t="s">
        <v>52</v>
      </c>
      <c r="B12" s="120"/>
      <c r="C12" s="120"/>
      <c r="D12" s="120"/>
      <c r="E12" s="120"/>
      <c r="F12" s="120"/>
    </row>
    <row r="13" spans="1:7" s="2" customFormat="1" ht="24.6" customHeight="1" x14ac:dyDescent="0.3">
      <c r="A13" s="124" t="s">
        <v>23</v>
      </c>
      <c r="B13" s="124"/>
      <c r="C13" s="124"/>
      <c r="D13" s="124"/>
      <c r="E13" s="124"/>
      <c r="F13" s="124"/>
    </row>
    <row r="14" spans="1:7" ht="15.6" hidden="1" customHeight="1" outlineLevel="1" x14ac:dyDescent="0.3">
      <c r="C14" s="23" t="s">
        <v>0</v>
      </c>
      <c r="D14" s="23"/>
      <c r="E14" s="23"/>
      <c r="F14" s="23"/>
    </row>
    <row r="15" spans="1:7" ht="25.15" hidden="1" customHeight="1" outlineLevel="1" x14ac:dyDescent="0.3">
      <c r="C15" s="24" t="s">
        <v>1</v>
      </c>
      <c r="D15" s="24" t="s">
        <v>2</v>
      </c>
      <c r="E15" s="24" t="s">
        <v>3</v>
      </c>
      <c r="F15" s="24" t="s">
        <v>4</v>
      </c>
    </row>
    <row r="16" spans="1:7" ht="24.6" hidden="1" customHeight="1" outlineLevel="1" x14ac:dyDescent="0.35">
      <c r="B16" s="25"/>
      <c r="C16" s="79">
        <v>1.2</v>
      </c>
      <c r="D16" s="79">
        <v>1</v>
      </c>
      <c r="E16" s="79">
        <v>0.8</v>
      </c>
      <c r="F16" s="79">
        <v>0.7</v>
      </c>
    </row>
    <row r="17" spans="1:7" ht="28.15" customHeight="1" collapsed="1" x14ac:dyDescent="0.3">
      <c r="B17" s="27"/>
      <c r="C17" s="27"/>
      <c r="D17" s="27"/>
      <c r="E17" s="27"/>
      <c r="F17" s="80" t="s">
        <v>5</v>
      </c>
    </row>
    <row r="18" spans="1:7" s="132" customFormat="1" x14ac:dyDescent="0.3">
      <c r="A18" s="94" t="s">
        <v>6</v>
      </c>
      <c r="B18" s="95" t="s">
        <v>7</v>
      </c>
      <c r="C18" s="29" t="s">
        <v>1</v>
      </c>
      <c r="D18" s="29" t="s">
        <v>2</v>
      </c>
      <c r="E18" s="29" t="s">
        <v>3</v>
      </c>
      <c r="F18" s="29" t="s">
        <v>4</v>
      </c>
    </row>
    <row r="19" spans="1:7" ht="32.450000000000003" customHeight="1" x14ac:dyDescent="0.2">
      <c r="A19" s="114" t="s">
        <v>62</v>
      </c>
      <c r="B19" s="32" t="s">
        <v>13</v>
      </c>
      <c r="C19" s="32" t="s">
        <v>14</v>
      </c>
      <c r="D19" s="32" t="s">
        <v>14</v>
      </c>
      <c r="E19" s="32" t="s">
        <v>14</v>
      </c>
      <c r="F19" s="32" t="s">
        <v>14</v>
      </c>
      <c r="G19" s="128">
        <v>0.75</v>
      </c>
    </row>
    <row r="20" spans="1:7" ht="32.450000000000003" customHeight="1" x14ac:dyDescent="0.2">
      <c r="A20" s="115"/>
      <c r="B20" s="32" t="s">
        <v>15</v>
      </c>
      <c r="C20" s="32" t="s">
        <v>14</v>
      </c>
      <c r="D20" s="32">
        <f>E20*1.2</f>
        <v>48</v>
      </c>
      <c r="E20" s="32">
        <v>40</v>
      </c>
      <c r="F20" s="32" t="s">
        <v>14</v>
      </c>
    </row>
    <row r="21" spans="1:7" ht="32.450000000000003" customHeight="1" x14ac:dyDescent="0.2">
      <c r="A21" s="115"/>
      <c r="B21" s="32" t="s">
        <v>16</v>
      </c>
      <c r="C21" s="32" t="s">
        <v>14</v>
      </c>
      <c r="D21" s="32">
        <f>E21*1.2</f>
        <v>72</v>
      </c>
      <c r="E21" s="32">
        <f>E20*1.5</f>
        <v>60</v>
      </c>
      <c r="F21" s="32" t="s">
        <v>14</v>
      </c>
      <c r="G21" s="128">
        <v>1.5</v>
      </c>
    </row>
    <row r="22" spans="1:7" ht="32.450000000000003" customHeight="1" x14ac:dyDescent="0.2">
      <c r="A22" s="121"/>
      <c r="B22" s="32" t="s">
        <v>61</v>
      </c>
      <c r="C22" s="131" t="s">
        <v>14</v>
      </c>
      <c r="D22" s="130"/>
      <c r="E22" s="130"/>
      <c r="F22" s="129"/>
      <c r="G22" s="128"/>
    </row>
    <row r="23" spans="1:7" ht="23.45" hidden="1" customHeight="1" x14ac:dyDescent="0.2">
      <c r="A23" s="82"/>
      <c r="B23" s="96"/>
      <c r="C23" s="96"/>
      <c r="D23" s="96"/>
      <c r="E23" s="96"/>
      <c r="F23" s="96"/>
    </row>
    <row r="24" spans="1:7" ht="32.25" hidden="1" customHeight="1" x14ac:dyDescent="0.3">
      <c r="A24" s="127" t="s">
        <v>60</v>
      </c>
      <c r="B24" s="127"/>
      <c r="C24" s="127"/>
      <c r="D24" s="127"/>
      <c r="E24" s="126" t="s">
        <v>56</v>
      </c>
    </row>
  </sheetData>
  <mergeCells count="15">
    <mergeCell ref="C22:F22"/>
    <mergeCell ref="A19:A22"/>
    <mergeCell ref="A12:F12"/>
    <mergeCell ref="A10:F10"/>
    <mergeCell ref="A11:F11"/>
    <mergeCell ref="D1:F1"/>
    <mergeCell ref="D2:F2"/>
    <mergeCell ref="D3:F3"/>
    <mergeCell ref="A24:D24"/>
    <mergeCell ref="D4:F4"/>
    <mergeCell ref="D5:F5"/>
    <mergeCell ref="A7:F7"/>
    <mergeCell ref="A8:F8"/>
    <mergeCell ref="A9:F9"/>
    <mergeCell ref="A13:F13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W36"/>
  <sheetViews>
    <sheetView view="pageBreakPreview" zoomScale="80" zoomScaleNormal="100" zoomScaleSheetLayoutView="80" workbookViewId="0">
      <selection activeCell="B9" sqref="B9:D9"/>
    </sheetView>
  </sheetViews>
  <sheetFormatPr defaultRowHeight="20.25" outlineLevelRow="1" x14ac:dyDescent="0.3"/>
  <cols>
    <col min="1" max="1" width="15.44140625" style="16" customWidth="1"/>
    <col min="2" max="2" width="20.44140625" style="16" customWidth="1"/>
    <col min="3" max="4" width="12.6640625" style="16" customWidth="1"/>
    <col min="5" max="5" width="11.6640625" style="16" customWidth="1"/>
    <col min="6" max="6" width="12.5546875" style="16" customWidth="1"/>
    <col min="7" max="7" width="7.6640625" style="1" hidden="1" customWidth="1"/>
    <col min="8" max="8" width="5.88671875" style="1" hidden="1" customWidth="1"/>
    <col min="9" max="9" width="5.33203125" style="1" hidden="1" customWidth="1"/>
    <col min="10" max="10" width="4.6640625" style="1" hidden="1" customWidth="1"/>
    <col min="11" max="11" width="6" style="1" hidden="1" customWidth="1"/>
    <col min="12" max="12" width="4.21875" style="1" hidden="1" customWidth="1"/>
    <col min="13" max="13" width="2.77734375" style="1" hidden="1" customWidth="1"/>
    <col min="14" max="16" width="5.5546875" style="1" hidden="1" customWidth="1"/>
    <col min="17" max="17" width="5.6640625" style="1" hidden="1" customWidth="1"/>
    <col min="18" max="18" width="5.5546875" style="1" hidden="1" customWidth="1"/>
    <col min="19" max="19" width="0" style="1" hidden="1" customWidth="1"/>
    <col min="20" max="20" width="2" style="1" hidden="1" customWidth="1"/>
    <col min="21" max="22" width="9.77734375" style="1" hidden="1" customWidth="1"/>
    <col min="23" max="23" width="7.6640625" style="1" hidden="1" customWidth="1"/>
    <col min="24" max="25" width="6.44140625" style="1" hidden="1" customWidth="1"/>
    <col min="26" max="26" width="6.6640625" style="1" hidden="1" customWidth="1"/>
    <col min="27" max="27" width="4.6640625" style="1" hidden="1" customWidth="1"/>
    <col min="28" max="28" width="9.77734375" style="1" hidden="1" customWidth="1"/>
    <col min="29" max="29" width="0" style="1" hidden="1" customWidth="1"/>
    <col min="30" max="30" width="13.44140625" style="1" hidden="1" customWidth="1"/>
    <col min="31" max="32" width="0" style="1" hidden="1" customWidth="1"/>
    <col min="33" max="33" width="21.5546875" style="16" hidden="1" customWidth="1"/>
    <col min="34" max="34" width="14.21875" style="16" hidden="1" customWidth="1"/>
    <col min="35" max="35" width="20.21875" style="16" hidden="1" customWidth="1"/>
    <col min="36" max="36" width="37.21875" style="16" hidden="1" customWidth="1"/>
    <col min="37" max="37" width="9" style="16" hidden="1" customWidth="1"/>
    <col min="38" max="38" width="37.77734375" style="16" hidden="1" customWidth="1"/>
    <col min="39" max="40" width="5.33203125" style="1" hidden="1" customWidth="1"/>
    <col min="41" max="41" width="15.44140625" style="16" hidden="1" customWidth="1"/>
    <col min="42" max="42" width="20.44140625" style="16" hidden="1" customWidth="1"/>
    <col min="43" max="43" width="10.44140625" style="16" hidden="1" customWidth="1"/>
    <col min="44" max="44" width="10.6640625" style="16" hidden="1" customWidth="1"/>
    <col min="45" max="45" width="10.21875" style="16" hidden="1" customWidth="1"/>
    <col min="46" max="46" width="10" style="16" hidden="1" customWidth="1"/>
    <col min="47" max="56" width="0" style="1" hidden="1" customWidth="1"/>
    <col min="57" max="59" width="8.77734375" style="1"/>
    <col min="60" max="60" width="0.88671875" style="1" customWidth="1"/>
    <col min="61" max="61" width="8.77734375" style="1" hidden="1" customWidth="1"/>
    <col min="62" max="62" width="15.44140625" style="16" hidden="1" customWidth="1"/>
    <col min="63" max="63" width="20.44140625" style="16" hidden="1" customWidth="1"/>
    <col min="64" max="66" width="12.6640625" style="16" hidden="1" customWidth="1"/>
    <col min="67" max="67" width="12.5546875" style="16" hidden="1" customWidth="1"/>
    <col min="68" max="69" width="8.77734375" style="1"/>
    <col min="70" max="70" width="15.44140625" style="16" hidden="1" customWidth="1"/>
    <col min="71" max="71" width="20.44140625" style="16" hidden="1" customWidth="1"/>
    <col min="72" max="73" width="12.6640625" style="16" hidden="1" customWidth="1"/>
    <col min="74" max="74" width="11.6640625" style="16" hidden="1" customWidth="1"/>
    <col min="75" max="75" width="12.5546875" style="16" hidden="1" customWidth="1"/>
    <col min="76" max="248" width="8.77734375" style="1"/>
    <col min="249" max="249" width="13.33203125" style="1" customWidth="1"/>
    <col min="250" max="250" width="9.5546875" style="1" customWidth="1"/>
    <col min="251" max="251" width="12.77734375" style="1" customWidth="1"/>
    <col min="252" max="252" width="10.5546875" style="1" customWidth="1"/>
    <col min="253" max="253" width="10.88671875" style="1" customWidth="1"/>
    <col min="254" max="254" width="11.21875" style="1" customWidth="1"/>
    <col min="255" max="255" width="8.77734375" style="1"/>
    <col min="256" max="256" width="11.21875" style="1" customWidth="1"/>
    <col min="257" max="504" width="8.77734375" style="1"/>
    <col min="505" max="505" width="13.33203125" style="1" customWidth="1"/>
    <col min="506" max="506" width="9.5546875" style="1" customWidth="1"/>
    <col min="507" max="507" width="12.77734375" style="1" customWidth="1"/>
    <col min="508" max="508" width="10.5546875" style="1" customWidth="1"/>
    <col min="509" max="509" width="10.88671875" style="1" customWidth="1"/>
    <col min="510" max="510" width="11.21875" style="1" customWidth="1"/>
    <col min="511" max="511" width="8.77734375" style="1"/>
    <col min="512" max="512" width="11.21875" style="1" customWidth="1"/>
    <col min="513" max="760" width="8.77734375" style="1"/>
    <col min="761" max="761" width="13.33203125" style="1" customWidth="1"/>
    <col min="762" max="762" width="9.5546875" style="1" customWidth="1"/>
    <col min="763" max="763" width="12.77734375" style="1" customWidth="1"/>
    <col min="764" max="764" width="10.5546875" style="1" customWidth="1"/>
    <col min="765" max="765" width="10.88671875" style="1" customWidth="1"/>
    <col min="766" max="766" width="11.21875" style="1" customWidth="1"/>
    <col min="767" max="767" width="8.77734375" style="1"/>
    <col min="768" max="768" width="11.21875" style="1" customWidth="1"/>
    <col min="769" max="1016" width="8.77734375" style="1"/>
    <col min="1017" max="1017" width="13.33203125" style="1" customWidth="1"/>
    <col min="1018" max="1018" width="9.5546875" style="1" customWidth="1"/>
    <col min="1019" max="1019" width="12.77734375" style="1" customWidth="1"/>
    <col min="1020" max="1020" width="10.5546875" style="1" customWidth="1"/>
    <col min="1021" max="1021" width="10.88671875" style="1" customWidth="1"/>
    <col min="1022" max="1022" width="11.21875" style="1" customWidth="1"/>
    <col min="1023" max="1023" width="8.77734375" style="1"/>
    <col min="1024" max="1024" width="11.21875" style="1" customWidth="1"/>
    <col min="1025" max="1272" width="8.77734375" style="1"/>
    <col min="1273" max="1273" width="13.33203125" style="1" customWidth="1"/>
    <col min="1274" max="1274" width="9.5546875" style="1" customWidth="1"/>
    <col min="1275" max="1275" width="12.77734375" style="1" customWidth="1"/>
    <col min="1276" max="1276" width="10.5546875" style="1" customWidth="1"/>
    <col min="1277" max="1277" width="10.88671875" style="1" customWidth="1"/>
    <col min="1278" max="1278" width="11.21875" style="1" customWidth="1"/>
    <col min="1279" max="1279" width="8.77734375" style="1"/>
    <col min="1280" max="1280" width="11.21875" style="1" customWidth="1"/>
    <col min="1281" max="1528" width="8.77734375" style="1"/>
    <col min="1529" max="1529" width="13.33203125" style="1" customWidth="1"/>
    <col min="1530" max="1530" width="9.5546875" style="1" customWidth="1"/>
    <col min="1531" max="1531" width="12.77734375" style="1" customWidth="1"/>
    <col min="1532" max="1532" width="10.5546875" style="1" customWidth="1"/>
    <col min="1533" max="1533" width="10.88671875" style="1" customWidth="1"/>
    <col min="1534" max="1534" width="11.21875" style="1" customWidth="1"/>
    <col min="1535" max="1535" width="8.77734375" style="1"/>
    <col min="1536" max="1536" width="11.21875" style="1" customWidth="1"/>
    <col min="1537" max="1784" width="8.77734375" style="1"/>
    <col min="1785" max="1785" width="13.33203125" style="1" customWidth="1"/>
    <col min="1786" max="1786" width="9.5546875" style="1" customWidth="1"/>
    <col min="1787" max="1787" width="12.77734375" style="1" customWidth="1"/>
    <col min="1788" max="1788" width="10.5546875" style="1" customWidth="1"/>
    <col min="1789" max="1789" width="10.88671875" style="1" customWidth="1"/>
    <col min="1790" max="1790" width="11.21875" style="1" customWidth="1"/>
    <col min="1791" max="1791" width="8.77734375" style="1"/>
    <col min="1792" max="1792" width="11.21875" style="1" customWidth="1"/>
    <col min="1793" max="2040" width="8.77734375" style="1"/>
    <col min="2041" max="2041" width="13.33203125" style="1" customWidth="1"/>
    <col min="2042" max="2042" width="9.5546875" style="1" customWidth="1"/>
    <col min="2043" max="2043" width="12.77734375" style="1" customWidth="1"/>
    <col min="2044" max="2044" width="10.5546875" style="1" customWidth="1"/>
    <col min="2045" max="2045" width="10.88671875" style="1" customWidth="1"/>
    <col min="2046" max="2046" width="11.21875" style="1" customWidth="1"/>
    <col min="2047" max="2047" width="8.77734375" style="1"/>
    <col min="2048" max="2048" width="11.21875" style="1" customWidth="1"/>
    <col min="2049" max="2296" width="8.77734375" style="1"/>
    <col min="2297" max="2297" width="13.33203125" style="1" customWidth="1"/>
    <col min="2298" max="2298" width="9.5546875" style="1" customWidth="1"/>
    <col min="2299" max="2299" width="12.77734375" style="1" customWidth="1"/>
    <col min="2300" max="2300" width="10.5546875" style="1" customWidth="1"/>
    <col min="2301" max="2301" width="10.88671875" style="1" customWidth="1"/>
    <col min="2302" max="2302" width="11.21875" style="1" customWidth="1"/>
    <col min="2303" max="2303" width="8.77734375" style="1"/>
    <col min="2304" max="2304" width="11.21875" style="1" customWidth="1"/>
    <col min="2305" max="2552" width="8.77734375" style="1"/>
    <col min="2553" max="2553" width="13.33203125" style="1" customWidth="1"/>
    <col min="2554" max="2554" width="9.5546875" style="1" customWidth="1"/>
    <col min="2555" max="2555" width="12.77734375" style="1" customWidth="1"/>
    <col min="2556" max="2556" width="10.5546875" style="1" customWidth="1"/>
    <col min="2557" max="2557" width="10.88671875" style="1" customWidth="1"/>
    <col min="2558" max="2558" width="11.21875" style="1" customWidth="1"/>
    <col min="2559" max="2559" width="8.77734375" style="1"/>
    <col min="2560" max="2560" width="11.21875" style="1" customWidth="1"/>
    <col min="2561" max="2808" width="8.77734375" style="1"/>
    <col min="2809" max="2809" width="13.33203125" style="1" customWidth="1"/>
    <col min="2810" max="2810" width="9.5546875" style="1" customWidth="1"/>
    <col min="2811" max="2811" width="12.77734375" style="1" customWidth="1"/>
    <col min="2812" max="2812" width="10.5546875" style="1" customWidth="1"/>
    <col min="2813" max="2813" width="10.88671875" style="1" customWidth="1"/>
    <col min="2814" max="2814" width="11.21875" style="1" customWidth="1"/>
    <col min="2815" max="2815" width="8.77734375" style="1"/>
    <col min="2816" max="2816" width="11.21875" style="1" customWidth="1"/>
    <col min="2817" max="3064" width="8.77734375" style="1"/>
    <col min="3065" max="3065" width="13.33203125" style="1" customWidth="1"/>
    <col min="3066" max="3066" width="9.5546875" style="1" customWidth="1"/>
    <col min="3067" max="3067" width="12.77734375" style="1" customWidth="1"/>
    <col min="3068" max="3068" width="10.5546875" style="1" customWidth="1"/>
    <col min="3069" max="3069" width="10.88671875" style="1" customWidth="1"/>
    <col min="3070" max="3070" width="11.21875" style="1" customWidth="1"/>
    <col min="3071" max="3071" width="8.77734375" style="1"/>
    <col min="3072" max="3072" width="11.21875" style="1" customWidth="1"/>
    <col min="3073" max="3320" width="8.77734375" style="1"/>
    <col min="3321" max="3321" width="13.33203125" style="1" customWidth="1"/>
    <col min="3322" max="3322" width="9.5546875" style="1" customWidth="1"/>
    <col min="3323" max="3323" width="12.77734375" style="1" customWidth="1"/>
    <col min="3324" max="3324" width="10.5546875" style="1" customWidth="1"/>
    <col min="3325" max="3325" width="10.88671875" style="1" customWidth="1"/>
    <col min="3326" max="3326" width="11.21875" style="1" customWidth="1"/>
    <col min="3327" max="3327" width="8.77734375" style="1"/>
    <col min="3328" max="3328" width="11.21875" style="1" customWidth="1"/>
    <col min="3329" max="3576" width="8.77734375" style="1"/>
    <col min="3577" max="3577" width="13.33203125" style="1" customWidth="1"/>
    <col min="3578" max="3578" width="9.5546875" style="1" customWidth="1"/>
    <col min="3579" max="3579" width="12.77734375" style="1" customWidth="1"/>
    <col min="3580" max="3580" width="10.5546875" style="1" customWidth="1"/>
    <col min="3581" max="3581" width="10.88671875" style="1" customWidth="1"/>
    <col min="3582" max="3582" width="11.21875" style="1" customWidth="1"/>
    <col min="3583" max="3583" width="8.77734375" style="1"/>
    <col min="3584" max="3584" width="11.21875" style="1" customWidth="1"/>
    <col min="3585" max="3832" width="8.77734375" style="1"/>
    <col min="3833" max="3833" width="13.33203125" style="1" customWidth="1"/>
    <col min="3834" max="3834" width="9.5546875" style="1" customWidth="1"/>
    <col min="3835" max="3835" width="12.77734375" style="1" customWidth="1"/>
    <col min="3836" max="3836" width="10.5546875" style="1" customWidth="1"/>
    <col min="3837" max="3837" width="10.88671875" style="1" customWidth="1"/>
    <col min="3838" max="3838" width="11.21875" style="1" customWidth="1"/>
    <col min="3839" max="3839" width="8.77734375" style="1"/>
    <col min="3840" max="3840" width="11.21875" style="1" customWidth="1"/>
    <col min="3841" max="4088" width="8.77734375" style="1"/>
    <col min="4089" max="4089" width="13.33203125" style="1" customWidth="1"/>
    <col min="4090" max="4090" width="9.5546875" style="1" customWidth="1"/>
    <col min="4091" max="4091" width="12.77734375" style="1" customWidth="1"/>
    <col min="4092" max="4092" width="10.5546875" style="1" customWidth="1"/>
    <col min="4093" max="4093" width="10.88671875" style="1" customWidth="1"/>
    <col min="4094" max="4094" width="11.21875" style="1" customWidth="1"/>
    <col min="4095" max="4095" width="8.77734375" style="1"/>
    <col min="4096" max="4096" width="11.21875" style="1" customWidth="1"/>
    <col min="4097" max="4344" width="8.77734375" style="1"/>
    <col min="4345" max="4345" width="13.33203125" style="1" customWidth="1"/>
    <col min="4346" max="4346" width="9.5546875" style="1" customWidth="1"/>
    <col min="4347" max="4347" width="12.77734375" style="1" customWidth="1"/>
    <col min="4348" max="4348" width="10.5546875" style="1" customWidth="1"/>
    <col min="4349" max="4349" width="10.88671875" style="1" customWidth="1"/>
    <col min="4350" max="4350" width="11.21875" style="1" customWidth="1"/>
    <col min="4351" max="4351" width="8.77734375" style="1"/>
    <col min="4352" max="4352" width="11.21875" style="1" customWidth="1"/>
    <col min="4353" max="4600" width="8.77734375" style="1"/>
    <col min="4601" max="4601" width="13.33203125" style="1" customWidth="1"/>
    <col min="4602" max="4602" width="9.5546875" style="1" customWidth="1"/>
    <col min="4603" max="4603" width="12.77734375" style="1" customWidth="1"/>
    <col min="4604" max="4604" width="10.5546875" style="1" customWidth="1"/>
    <col min="4605" max="4605" width="10.88671875" style="1" customWidth="1"/>
    <col min="4606" max="4606" width="11.21875" style="1" customWidth="1"/>
    <col min="4607" max="4607" width="8.77734375" style="1"/>
    <col min="4608" max="4608" width="11.21875" style="1" customWidth="1"/>
    <col min="4609" max="4856" width="8.77734375" style="1"/>
    <col min="4857" max="4857" width="13.33203125" style="1" customWidth="1"/>
    <col min="4858" max="4858" width="9.5546875" style="1" customWidth="1"/>
    <col min="4859" max="4859" width="12.77734375" style="1" customWidth="1"/>
    <col min="4860" max="4860" width="10.5546875" style="1" customWidth="1"/>
    <col min="4861" max="4861" width="10.88671875" style="1" customWidth="1"/>
    <col min="4862" max="4862" width="11.21875" style="1" customWidth="1"/>
    <col min="4863" max="4863" width="8.77734375" style="1"/>
    <col min="4864" max="4864" width="11.21875" style="1" customWidth="1"/>
    <col min="4865" max="5112" width="8.77734375" style="1"/>
    <col min="5113" max="5113" width="13.33203125" style="1" customWidth="1"/>
    <col min="5114" max="5114" width="9.5546875" style="1" customWidth="1"/>
    <col min="5115" max="5115" width="12.77734375" style="1" customWidth="1"/>
    <col min="5116" max="5116" width="10.5546875" style="1" customWidth="1"/>
    <col min="5117" max="5117" width="10.88671875" style="1" customWidth="1"/>
    <col min="5118" max="5118" width="11.21875" style="1" customWidth="1"/>
    <col min="5119" max="5119" width="8.77734375" style="1"/>
    <col min="5120" max="5120" width="11.21875" style="1" customWidth="1"/>
    <col min="5121" max="5368" width="8.77734375" style="1"/>
    <col min="5369" max="5369" width="13.33203125" style="1" customWidth="1"/>
    <col min="5370" max="5370" width="9.5546875" style="1" customWidth="1"/>
    <col min="5371" max="5371" width="12.77734375" style="1" customWidth="1"/>
    <col min="5372" max="5372" width="10.5546875" style="1" customWidth="1"/>
    <col min="5373" max="5373" width="10.88671875" style="1" customWidth="1"/>
    <col min="5374" max="5374" width="11.21875" style="1" customWidth="1"/>
    <col min="5375" max="5375" width="8.77734375" style="1"/>
    <col min="5376" max="5376" width="11.21875" style="1" customWidth="1"/>
    <col min="5377" max="5624" width="8.77734375" style="1"/>
    <col min="5625" max="5625" width="13.33203125" style="1" customWidth="1"/>
    <col min="5626" max="5626" width="9.5546875" style="1" customWidth="1"/>
    <col min="5627" max="5627" width="12.77734375" style="1" customWidth="1"/>
    <col min="5628" max="5628" width="10.5546875" style="1" customWidth="1"/>
    <col min="5629" max="5629" width="10.88671875" style="1" customWidth="1"/>
    <col min="5630" max="5630" width="11.21875" style="1" customWidth="1"/>
    <col min="5631" max="5631" width="8.77734375" style="1"/>
    <col min="5632" max="5632" width="11.21875" style="1" customWidth="1"/>
    <col min="5633" max="5880" width="8.77734375" style="1"/>
    <col min="5881" max="5881" width="13.33203125" style="1" customWidth="1"/>
    <col min="5882" max="5882" width="9.5546875" style="1" customWidth="1"/>
    <col min="5883" max="5883" width="12.77734375" style="1" customWidth="1"/>
    <col min="5884" max="5884" width="10.5546875" style="1" customWidth="1"/>
    <col min="5885" max="5885" width="10.88671875" style="1" customWidth="1"/>
    <col min="5886" max="5886" width="11.21875" style="1" customWidth="1"/>
    <col min="5887" max="5887" width="8.77734375" style="1"/>
    <col min="5888" max="5888" width="11.21875" style="1" customWidth="1"/>
    <col min="5889" max="6136" width="8.77734375" style="1"/>
    <col min="6137" max="6137" width="13.33203125" style="1" customWidth="1"/>
    <col min="6138" max="6138" width="9.5546875" style="1" customWidth="1"/>
    <col min="6139" max="6139" width="12.77734375" style="1" customWidth="1"/>
    <col min="6140" max="6140" width="10.5546875" style="1" customWidth="1"/>
    <col min="6141" max="6141" width="10.88671875" style="1" customWidth="1"/>
    <col min="6142" max="6142" width="11.21875" style="1" customWidth="1"/>
    <col min="6143" max="6143" width="8.77734375" style="1"/>
    <col min="6144" max="6144" width="11.21875" style="1" customWidth="1"/>
    <col min="6145" max="6392" width="8.77734375" style="1"/>
    <col min="6393" max="6393" width="13.33203125" style="1" customWidth="1"/>
    <col min="6394" max="6394" width="9.5546875" style="1" customWidth="1"/>
    <col min="6395" max="6395" width="12.77734375" style="1" customWidth="1"/>
    <col min="6396" max="6396" width="10.5546875" style="1" customWidth="1"/>
    <col min="6397" max="6397" width="10.88671875" style="1" customWidth="1"/>
    <col min="6398" max="6398" width="11.21875" style="1" customWidth="1"/>
    <col min="6399" max="6399" width="8.77734375" style="1"/>
    <col min="6400" max="6400" width="11.21875" style="1" customWidth="1"/>
    <col min="6401" max="6648" width="8.77734375" style="1"/>
    <col min="6649" max="6649" width="13.33203125" style="1" customWidth="1"/>
    <col min="6650" max="6650" width="9.5546875" style="1" customWidth="1"/>
    <col min="6651" max="6651" width="12.77734375" style="1" customWidth="1"/>
    <col min="6652" max="6652" width="10.5546875" style="1" customWidth="1"/>
    <col min="6653" max="6653" width="10.88671875" style="1" customWidth="1"/>
    <col min="6654" max="6654" width="11.21875" style="1" customWidth="1"/>
    <col min="6655" max="6655" width="8.77734375" style="1"/>
    <col min="6656" max="6656" width="11.21875" style="1" customWidth="1"/>
    <col min="6657" max="6904" width="8.77734375" style="1"/>
    <col min="6905" max="6905" width="13.33203125" style="1" customWidth="1"/>
    <col min="6906" max="6906" width="9.5546875" style="1" customWidth="1"/>
    <col min="6907" max="6907" width="12.77734375" style="1" customWidth="1"/>
    <col min="6908" max="6908" width="10.5546875" style="1" customWidth="1"/>
    <col min="6909" max="6909" width="10.88671875" style="1" customWidth="1"/>
    <col min="6910" max="6910" width="11.21875" style="1" customWidth="1"/>
    <col min="6911" max="6911" width="8.77734375" style="1"/>
    <col min="6912" max="6912" width="11.21875" style="1" customWidth="1"/>
    <col min="6913" max="7160" width="8.77734375" style="1"/>
    <col min="7161" max="7161" width="13.33203125" style="1" customWidth="1"/>
    <col min="7162" max="7162" width="9.5546875" style="1" customWidth="1"/>
    <col min="7163" max="7163" width="12.77734375" style="1" customWidth="1"/>
    <col min="7164" max="7164" width="10.5546875" style="1" customWidth="1"/>
    <col min="7165" max="7165" width="10.88671875" style="1" customWidth="1"/>
    <col min="7166" max="7166" width="11.21875" style="1" customWidth="1"/>
    <col min="7167" max="7167" width="8.77734375" style="1"/>
    <col min="7168" max="7168" width="11.21875" style="1" customWidth="1"/>
    <col min="7169" max="7416" width="8.77734375" style="1"/>
    <col min="7417" max="7417" width="13.33203125" style="1" customWidth="1"/>
    <col min="7418" max="7418" width="9.5546875" style="1" customWidth="1"/>
    <col min="7419" max="7419" width="12.77734375" style="1" customWidth="1"/>
    <col min="7420" max="7420" width="10.5546875" style="1" customWidth="1"/>
    <col min="7421" max="7421" width="10.88671875" style="1" customWidth="1"/>
    <col min="7422" max="7422" width="11.21875" style="1" customWidth="1"/>
    <col min="7423" max="7423" width="8.77734375" style="1"/>
    <col min="7424" max="7424" width="11.21875" style="1" customWidth="1"/>
    <col min="7425" max="7672" width="8.77734375" style="1"/>
    <col min="7673" max="7673" width="13.33203125" style="1" customWidth="1"/>
    <col min="7674" max="7674" width="9.5546875" style="1" customWidth="1"/>
    <col min="7675" max="7675" width="12.77734375" style="1" customWidth="1"/>
    <col min="7676" max="7676" width="10.5546875" style="1" customWidth="1"/>
    <col min="7677" max="7677" width="10.88671875" style="1" customWidth="1"/>
    <col min="7678" max="7678" width="11.21875" style="1" customWidth="1"/>
    <col min="7679" max="7679" width="8.77734375" style="1"/>
    <col min="7680" max="7680" width="11.21875" style="1" customWidth="1"/>
    <col min="7681" max="7928" width="8.77734375" style="1"/>
    <col min="7929" max="7929" width="13.33203125" style="1" customWidth="1"/>
    <col min="7930" max="7930" width="9.5546875" style="1" customWidth="1"/>
    <col min="7931" max="7931" width="12.77734375" style="1" customWidth="1"/>
    <col min="7932" max="7932" width="10.5546875" style="1" customWidth="1"/>
    <col min="7933" max="7933" width="10.88671875" style="1" customWidth="1"/>
    <col min="7934" max="7934" width="11.21875" style="1" customWidth="1"/>
    <col min="7935" max="7935" width="8.77734375" style="1"/>
    <col min="7936" max="7936" width="11.21875" style="1" customWidth="1"/>
    <col min="7937" max="8184" width="8.77734375" style="1"/>
    <col min="8185" max="8185" width="13.33203125" style="1" customWidth="1"/>
    <col min="8186" max="8186" width="9.5546875" style="1" customWidth="1"/>
    <col min="8187" max="8187" width="12.77734375" style="1" customWidth="1"/>
    <col min="8188" max="8188" width="10.5546875" style="1" customWidth="1"/>
    <col min="8189" max="8189" width="10.88671875" style="1" customWidth="1"/>
    <col min="8190" max="8190" width="11.21875" style="1" customWidth="1"/>
    <col min="8191" max="8191" width="8.77734375" style="1"/>
    <col min="8192" max="8192" width="11.21875" style="1" customWidth="1"/>
    <col min="8193" max="8440" width="8.77734375" style="1"/>
    <col min="8441" max="8441" width="13.33203125" style="1" customWidth="1"/>
    <col min="8442" max="8442" width="9.5546875" style="1" customWidth="1"/>
    <col min="8443" max="8443" width="12.77734375" style="1" customWidth="1"/>
    <col min="8444" max="8444" width="10.5546875" style="1" customWidth="1"/>
    <col min="8445" max="8445" width="10.88671875" style="1" customWidth="1"/>
    <col min="8446" max="8446" width="11.21875" style="1" customWidth="1"/>
    <col min="8447" max="8447" width="8.77734375" style="1"/>
    <col min="8448" max="8448" width="11.21875" style="1" customWidth="1"/>
    <col min="8449" max="8696" width="8.77734375" style="1"/>
    <col min="8697" max="8697" width="13.33203125" style="1" customWidth="1"/>
    <col min="8698" max="8698" width="9.5546875" style="1" customWidth="1"/>
    <col min="8699" max="8699" width="12.77734375" style="1" customWidth="1"/>
    <col min="8700" max="8700" width="10.5546875" style="1" customWidth="1"/>
    <col min="8701" max="8701" width="10.88671875" style="1" customWidth="1"/>
    <col min="8702" max="8702" width="11.21875" style="1" customWidth="1"/>
    <col min="8703" max="8703" width="8.77734375" style="1"/>
    <col min="8704" max="8704" width="11.21875" style="1" customWidth="1"/>
    <col min="8705" max="8952" width="8.77734375" style="1"/>
    <col min="8953" max="8953" width="13.33203125" style="1" customWidth="1"/>
    <col min="8954" max="8954" width="9.5546875" style="1" customWidth="1"/>
    <col min="8955" max="8955" width="12.77734375" style="1" customWidth="1"/>
    <col min="8956" max="8956" width="10.5546875" style="1" customWidth="1"/>
    <col min="8957" max="8957" width="10.88671875" style="1" customWidth="1"/>
    <col min="8958" max="8958" width="11.21875" style="1" customWidth="1"/>
    <col min="8959" max="8959" width="8.77734375" style="1"/>
    <col min="8960" max="8960" width="11.21875" style="1" customWidth="1"/>
    <col min="8961" max="9208" width="8.77734375" style="1"/>
    <col min="9209" max="9209" width="13.33203125" style="1" customWidth="1"/>
    <col min="9210" max="9210" width="9.5546875" style="1" customWidth="1"/>
    <col min="9211" max="9211" width="12.77734375" style="1" customWidth="1"/>
    <col min="9212" max="9212" width="10.5546875" style="1" customWidth="1"/>
    <col min="9213" max="9213" width="10.88671875" style="1" customWidth="1"/>
    <col min="9214" max="9214" width="11.21875" style="1" customWidth="1"/>
    <col min="9215" max="9215" width="8.77734375" style="1"/>
    <col min="9216" max="9216" width="11.21875" style="1" customWidth="1"/>
    <col min="9217" max="9464" width="8.77734375" style="1"/>
    <col min="9465" max="9465" width="13.33203125" style="1" customWidth="1"/>
    <col min="9466" max="9466" width="9.5546875" style="1" customWidth="1"/>
    <col min="9467" max="9467" width="12.77734375" style="1" customWidth="1"/>
    <col min="9468" max="9468" width="10.5546875" style="1" customWidth="1"/>
    <col min="9469" max="9469" width="10.88671875" style="1" customWidth="1"/>
    <col min="9470" max="9470" width="11.21875" style="1" customWidth="1"/>
    <col min="9471" max="9471" width="8.77734375" style="1"/>
    <col min="9472" max="9472" width="11.21875" style="1" customWidth="1"/>
    <col min="9473" max="9720" width="8.77734375" style="1"/>
    <col min="9721" max="9721" width="13.33203125" style="1" customWidth="1"/>
    <col min="9722" max="9722" width="9.5546875" style="1" customWidth="1"/>
    <col min="9723" max="9723" width="12.77734375" style="1" customWidth="1"/>
    <col min="9724" max="9724" width="10.5546875" style="1" customWidth="1"/>
    <col min="9725" max="9725" width="10.88671875" style="1" customWidth="1"/>
    <col min="9726" max="9726" width="11.21875" style="1" customWidth="1"/>
    <col min="9727" max="9727" width="8.77734375" style="1"/>
    <col min="9728" max="9728" width="11.21875" style="1" customWidth="1"/>
    <col min="9729" max="9976" width="8.77734375" style="1"/>
    <col min="9977" max="9977" width="13.33203125" style="1" customWidth="1"/>
    <col min="9978" max="9978" width="9.5546875" style="1" customWidth="1"/>
    <col min="9979" max="9979" width="12.77734375" style="1" customWidth="1"/>
    <col min="9980" max="9980" width="10.5546875" style="1" customWidth="1"/>
    <col min="9981" max="9981" width="10.88671875" style="1" customWidth="1"/>
    <col min="9982" max="9982" width="11.21875" style="1" customWidth="1"/>
    <col min="9983" max="9983" width="8.77734375" style="1"/>
    <col min="9984" max="9984" width="11.21875" style="1" customWidth="1"/>
    <col min="9985" max="10232" width="8.77734375" style="1"/>
    <col min="10233" max="10233" width="13.33203125" style="1" customWidth="1"/>
    <col min="10234" max="10234" width="9.5546875" style="1" customWidth="1"/>
    <col min="10235" max="10235" width="12.77734375" style="1" customWidth="1"/>
    <col min="10236" max="10236" width="10.5546875" style="1" customWidth="1"/>
    <col min="10237" max="10237" width="10.88671875" style="1" customWidth="1"/>
    <col min="10238" max="10238" width="11.21875" style="1" customWidth="1"/>
    <col min="10239" max="10239" width="8.77734375" style="1"/>
    <col min="10240" max="10240" width="11.21875" style="1" customWidth="1"/>
    <col min="10241" max="10488" width="8.77734375" style="1"/>
    <col min="10489" max="10489" width="13.33203125" style="1" customWidth="1"/>
    <col min="10490" max="10490" width="9.5546875" style="1" customWidth="1"/>
    <col min="10491" max="10491" width="12.77734375" style="1" customWidth="1"/>
    <col min="10492" max="10492" width="10.5546875" style="1" customWidth="1"/>
    <col min="10493" max="10493" width="10.88671875" style="1" customWidth="1"/>
    <col min="10494" max="10494" width="11.21875" style="1" customWidth="1"/>
    <col min="10495" max="10495" width="8.77734375" style="1"/>
    <col min="10496" max="10496" width="11.21875" style="1" customWidth="1"/>
    <col min="10497" max="10744" width="8.77734375" style="1"/>
    <col min="10745" max="10745" width="13.33203125" style="1" customWidth="1"/>
    <col min="10746" max="10746" width="9.5546875" style="1" customWidth="1"/>
    <col min="10747" max="10747" width="12.77734375" style="1" customWidth="1"/>
    <col min="10748" max="10748" width="10.5546875" style="1" customWidth="1"/>
    <col min="10749" max="10749" width="10.88671875" style="1" customWidth="1"/>
    <col min="10750" max="10750" width="11.21875" style="1" customWidth="1"/>
    <col min="10751" max="10751" width="8.77734375" style="1"/>
    <col min="10752" max="10752" width="11.21875" style="1" customWidth="1"/>
    <col min="10753" max="11000" width="8.77734375" style="1"/>
    <col min="11001" max="11001" width="13.33203125" style="1" customWidth="1"/>
    <col min="11002" max="11002" width="9.5546875" style="1" customWidth="1"/>
    <col min="11003" max="11003" width="12.77734375" style="1" customWidth="1"/>
    <col min="11004" max="11004" width="10.5546875" style="1" customWidth="1"/>
    <col min="11005" max="11005" width="10.88671875" style="1" customWidth="1"/>
    <col min="11006" max="11006" width="11.21875" style="1" customWidth="1"/>
    <col min="11007" max="11007" width="8.77734375" style="1"/>
    <col min="11008" max="11008" width="11.21875" style="1" customWidth="1"/>
    <col min="11009" max="11256" width="8.77734375" style="1"/>
    <col min="11257" max="11257" width="13.33203125" style="1" customWidth="1"/>
    <col min="11258" max="11258" width="9.5546875" style="1" customWidth="1"/>
    <col min="11259" max="11259" width="12.77734375" style="1" customWidth="1"/>
    <col min="11260" max="11260" width="10.5546875" style="1" customWidth="1"/>
    <col min="11261" max="11261" width="10.88671875" style="1" customWidth="1"/>
    <col min="11262" max="11262" width="11.21875" style="1" customWidth="1"/>
    <col min="11263" max="11263" width="8.77734375" style="1"/>
    <col min="11264" max="11264" width="11.21875" style="1" customWidth="1"/>
    <col min="11265" max="11512" width="8.77734375" style="1"/>
    <col min="11513" max="11513" width="13.33203125" style="1" customWidth="1"/>
    <col min="11514" max="11514" width="9.5546875" style="1" customWidth="1"/>
    <col min="11515" max="11515" width="12.77734375" style="1" customWidth="1"/>
    <col min="11516" max="11516" width="10.5546875" style="1" customWidth="1"/>
    <col min="11517" max="11517" width="10.88671875" style="1" customWidth="1"/>
    <col min="11518" max="11518" width="11.21875" style="1" customWidth="1"/>
    <col min="11519" max="11519" width="8.77734375" style="1"/>
    <col min="11520" max="11520" width="11.21875" style="1" customWidth="1"/>
    <col min="11521" max="11768" width="8.77734375" style="1"/>
    <col min="11769" max="11769" width="13.33203125" style="1" customWidth="1"/>
    <col min="11770" max="11770" width="9.5546875" style="1" customWidth="1"/>
    <col min="11771" max="11771" width="12.77734375" style="1" customWidth="1"/>
    <col min="11772" max="11772" width="10.5546875" style="1" customWidth="1"/>
    <col min="11773" max="11773" width="10.88671875" style="1" customWidth="1"/>
    <col min="11774" max="11774" width="11.21875" style="1" customWidth="1"/>
    <col min="11775" max="11775" width="8.77734375" style="1"/>
    <col min="11776" max="11776" width="11.21875" style="1" customWidth="1"/>
    <col min="11777" max="12024" width="8.77734375" style="1"/>
    <col min="12025" max="12025" width="13.33203125" style="1" customWidth="1"/>
    <col min="12026" max="12026" width="9.5546875" style="1" customWidth="1"/>
    <col min="12027" max="12027" width="12.77734375" style="1" customWidth="1"/>
    <col min="12028" max="12028" width="10.5546875" style="1" customWidth="1"/>
    <col min="12029" max="12029" width="10.88671875" style="1" customWidth="1"/>
    <col min="12030" max="12030" width="11.21875" style="1" customWidth="1"/>
    <col min="12031" max="12031" width="8.77734375" style="1"/>
    <col min="12032" max="12032" width="11.21875" style="1" customWidth="1"/>
    <col min="12033" max="12280" width="8.77734375" style="1"/>
    <col min="12281" max="12281" width="13.33203125" style="1" customWidth="1"/>
    <col min="12282" max="12282" width="9.5546875" style="1" customWidth="1"/>
    <col min="12283" max="12283" width="12.77734375" style="1" customWidth="1"/>
    <col min="12284" max="12284" width="10.5546875" style="1" customWidth="1"/>
    <col min="12285" max="12285" width="10.88671875" style="1" customWidth="1"/>
    <col min="12286" max="12286" width="11.21875" style="1" customWidth="1"/>
    <col min="12287" max="12287" width="8.77734375" style="1"/>
    <col min="12288" max="12288" width="11.21875" style="1" customWidth="1"/>
    <col min="12289" max="12536" width="8.77734375" style="1"/>
    <col min="12537" max="12537" width="13.33203125" style="1" customWidth="1"/>
    <col min="12538" max="12538" width="9.5546875" style="1" customWidth="1"/>
    <col min="12539" max="12539" width="12.77734375" style="1" customWidth="1"/>
    <col min="12540" max="12540" width="10.5546875" style="1" customWidth="1"/>
    <col min="12541" max="12541" width="10.88671875" style="1" customWidth="1"/>
    <col min="12542" max="12542" width="11.21875" style="1" customWidth="1"/>
    <col min="12543" max="12543" width="8.77734375" style="1"/>
    <col min="12544" max="12544" width="11.21875" style="1" customWidth="1"/>
    <col min="12545" max="12792" width="8.77734375" style="1"/>
    <col min="12793" max="12793" width="13.33203125" style="1" customWidth="1"/>
    <col min="12794" max="12794" width="9.5546875" style="1" customWidth="1"/>
    <col min="12795" max="12795" width="12.77734375" style="1" customWidth="1"/>
    <col min="12796" max="12796" width="10.5546875" style="1" customWidth="1"/>
    <col min="12797" max="12797" width="10.88671875" style="1" customWidth="1"/>
    <col min="12798" max="12798" width="11.21875" style="1" customWidth="1"/>
    <col min="12799" max="12799" width="8.77734375" style="1"/>
    <col min="12800" max="12800" width="11.21875" style="1" customWidth="1"/>
    <col min="12801" max="13048" width="8.77734375" style="1"/>
    <col min="13049" max="13049" width="13.33203125" style="1" customWidth="1"/>
    <col min="13050" max="13050" width="9.5546875" style="1" customWidth="1"/>
    <col min="13051" max="13051" width="12.77734375" style="1" customWidth="1"/>
    <col min="13052" max="13052" width="10.5546875" style="1" customWidth="1"/>
    <col min="13053" max="13053" width="10.88671875" style="1" customWidth="1"/>
    <col min="13054" max="13054" width="11.21875" style="1" customWidth="1"/>
    <col min="13055" max="13055" width="8.77734375" style="1"/>
    <col min="13056" max="13056" width="11.21875" style="1" customWidth="1"/>
    <col min="13057" max="13304" width="8.77734375" style="1"/>
    <col min="13305" max="13305" width="13.33203125" style="1" customWidth="1"/>
    <col min="13306" max="13306" width="9.5546875" style="1" customWidth="1"/>
    <col min="13307" max="13307" width="12.77734375" style="1" customWidth="1"/>
    <col min="13308" max="13308" width="10.5546875" style="1" customWidth="1"/>
    <col min="13309" max="13309" width="10.88671875" style="1" customWidth="1"/>
    <col min="13310" max="13310" width="11.21875" style="1" customWidth="1"/>
    <col min="13311" max="13311" width="8.77734375" style="1"/>
    <col min="13312" max="13312" width="11.21875" style="1" customWidth="1"/>
    <col min="13313" max="13560" width="8.77734375" style="1"/>
    <col min="13561" max="13561" width="13.33203125" style="1" customWidth="1"/>
    <col min="13562" max="13562" width="9.5546875" style="1" customWidth="1"/>
    <col min="13563" max="13563" width="12.77734375" style="1" customWidth="1"/>
    <col min="13564" max="13564" width="10.5546875" style="1" customWidth="1"/>
    <col min="13565" max="13565" width="10.88671875" style="1" customWidth="1"/>
    <col min="13566" max="13566" width="11.21875" style="1" customWidth="1"/>
    <col min="13567" max="13567" width="8.77734375" style="1"/>
    <col min="13568" max="13568" width="11.21875" style="1" customWidth="1"/>
    <col min="13569" max="13816" width="8.77734375" style="1"/>
    <col min="13817" max="13817" width="13.33203125" style="1" customWidth="1"/>
    <col min="13818" max="13818" width="9.5546875" style="1" customWidth="1"/>
    <col min="13819" max="13819" width="12.77734375" style="1" customWidth="1"/>
    <col min="13820" max="13820" width="10.5546875" style="1" customWidth="1"/>
    <col min="13821" max="13821" width="10.88671875" style="1" customWidth="1"/>
    <col min="13822" max="13822" width="11.21875" style="1" customWidth="1"/>
    <col min="13823" max="13823" width="8.77734375" style="1"/>
    <col min="13824" max="13824" width="11.21875" style="1" customWidth="1"/>
    <col min="13825" max="14072" width="8.77734375" style="1"/>
    <col min="14073" max="14073" width="13.33203125" style="1" customWidth="1"/>
    <col min="14074" max="14074" width="9.5546875" style="1" customWidth="1"/>
    <col min="14075" max="14075" width="12.77734375" style="1" customWidth="1"/>
    <col min="14076" max="14076" width="10.5546875" style="1" customWidth="1"/>
    <col min="14077" max="14077" width="10.88671875" style="1" customWidth="1"/>
    <col min="14078" max="14078" width="11.21875" style="1" customWidth="1"/>
    <col min="14079" max="14079" width="8.77734375" style="1"/>
    <col min="14080" max="14080" width="11.21875" style="1" customWidth="1"/>
    <col min="14081" max="14328" width="8.77734375" style="1"/>
    <col min="14329" max="14329" width="13.33203125" style="1" customWidth="1"/>
    <col min="14330" max="14330" width="9.5546875" style="1" customWidth="1"/>
    <col min="14331" max="14331" width="12.77734375" style="1" customWidth="1"/>
    <col min="14332" max="14332" width="10.5546875" style="1" customWidth="1"/>
    <col min="14333" max="14333" width="10.88671875" style="1" customWidth="1"/>
    <col min="14334" max="14334" width="11.21875" style="1" customWidth="1"/>
    <col min="14335" max="14335" width="8.77734375" style="1"/>
    <col min="14336" max="14336" width="11.21875" style="1" customWidth="1"/>
    <col min="14337" max="14584" width="8.77734375" style="1"/>
    <col min="14585" max="14585" width="13.33203125" style="1" customWidth="1"/>
    <col min="14586" max="14586" width="9.5546875" style="1" customWidth="1"/>
    <col min="14587" max="14587" width="12.77734375" style="1" customWidth="1"/>
    <col min="14588" max="14588" width="10.5546875" style="1" customWidth="1"/>
    <col min="14589" max="14589" width="10.88671875" style="1" customWidth="1"/>
    <col min="14590" max="14590" width="11.21875" style="1" customWidth="1"/>
    <col min="14591" max="14591" width="8.77734375" style="1"/>
    <col min="14592" max="14592" width="11.21875" style="1" customWidth="1"/>
    <col min="14593" max="14840" width="8.77734375" style="1"/>
    <col min="14841" max="14841" width="13.33203125" style="1" customWidth="1"/>
    <col min="14842" max="14842" width="9.5546875" style="1" customWidth="1"/>
    <col min="14843" max="14843" width="12.77734375" style="1" customWidth="1"/>
    <col min="14844" max="14844" width="10.5546875" style="1" customWidth="1"/>
    <col min="14845" max="14845" width="10.88671875" style="1" customWidth="1"/>
    <col min="14846" max="14846" width="11.21875" style="1" customWidth="1"/>
    <col min="14847" max="14847" width="8.77734375" style="1"/>
    <col min="14848" max="14848" width="11.21875" style="1" customWidth="1"/>
    <col min="14849" max="15096" width="8.77734375" style="1"/>
    <col min="15097" max="15097" width="13.33203125" style="1" customWidth="1"/>
    <col min="15098" max="15098" width="9.5546875" style="1" customWidth="1"/>
    <col min="15099" max="15099" width="12.77734375" style="1" customWidth="1"/>
    <col min="15100" max="15100" width="10.5546875" style="1" customWidth="1"/>
    <col min="15101" max="15101" width="10.88671875" style="1" customWidth="1"/>
    <col min="15102" max="15102" width="11.21875" style="1" customWidth="1"/>
    <col min="15103" max="15103" width="8.77734375" style="1"/>
    <col min="15104" max="15104" width="11.21875" style="1" customWidth="1"/>
    <col min="15105" max="15352" width="8.77734375" style="1"/>
    <col min="15353" max="15353" width="13.33203125" style="1" customWidth="1"/>
    <col min="15354" max="15354" width="9.5546875" style="1" customWidth="1"/>
    <col min="15355" max="15355" width="12.77734375" style="1" customWidth="1"/>
    <col min="15356" max="15356" width="10.5546875" style="1" customWidth="1"/>
    <col min="15357" max="15357" width="10.88671875" style="1" customWidth="1"/>
    <col min="15358" max="15358" width="11.21875" style="1" customWidth="1"/>
    <col min="15359" max="15359" width="8.77734375" style="1"/>
    <col min="15360" max="15360" width="11.21875" style="1" customWidth="1"/>
    <col min="15361" max="15608" width="8.77734375" style="1"/>
    <col min="15609" max="15609" width="13.33203125" style="1" customWidth="1"/>
    <col min="15610" max="15610" width="9.5546875" style="1" customWidth="1"/>
    <col min="15611" max="15611" width="12.77734375" style="1" customWidth="1"/>
    <col min="15612" max="15612" width="10.5546875" style="1" customWidth="1"/>
    <col min="15613" max="15613" width="10.88671875" style="1" customWidth="1"/>
    <col min="15614" max="15614" width="11.21875" style="1" customWidth="1"/>
    <col min="15615" max="15615" width="8.77734375" style="1"/>
    <col min="15616" max="15616" width="11.21875" style="1" customWidth="1"/>
    <col min="15617" max="15864" width="8.77734375" style="1"/>
    <col min="15865" max="15865" width="13.33203125" style="1" customWidth="1"/>
    <col min="15866" max="15866" width="9.5546875" style="1" customWidth="1"/>
    <col min="15867" max="15867" width="12.77734375" style="1" customWidth="1"/>
    <col min="15868" max="15868" width="10.5546875" style="1" customWidth="1"/>
    <col min="15869" max="15869" width="10.88671875" style="1" customWidth="1"/>
    <col min="15870" max="15870" width="11.21875" style="1" customWidth="1"/>
    <col min="15871" max="15871" width="8.77734375" style="1"/>
    <col min="15872" max="15872" width="11.21875" style="1" customWidth="1"/>
    <col min="15873" max="16120" width="8.77734375" style="1"/>
    <col min="16121" max="16121" width="13.33203125" style="1" customWidth="1"/>
    <col min="16122" max="16122" width="9.5546875" style="1" customWidth="1"/>
    <col min="16123" max="16123" width="12.77734375" style="1" customWidth="1"/>
    <col min="16124" max="16124" width="10.5546875" style="1" customWidth="1"/>
    <col min="16125" max="16125" width="10.88671875" style="1" customWidth="1"/>
    <col min="16126" max="16126" width="11.21875" style="1" customWidth="1"/>
    <col min="16127" max="16127" width="8.77734375" style="1"/>
    <col min="16128" max="16128" width="11.21875" style="1" customWidth="1"/>
    <col min="16129" max="16384" width="8.77734375" style="1"/>
  </cols>
  <sheetData>
    <row r="1" spans="1:75" x14ac:dyDescent="0.3">
      <c r="D1" s="91"/>
      <c r="E1" s="91"/>
      <c r="F1" s="91"/>
      <c r="BU1" s="91"/>
      <c r="BV1" s="91"/>
      <c r="BW1" s="91"/>
    </row>
    <row r="2" spans="1:75" ht="28.15" customHeight="1" x14ac:dyDescent="0.35">
      <c r="A2" s="106" t="s">
        <v>21</v>
      </c>
      <c r="B2" s="106"/>
      <c r="C2" s="106"/>
      <c r="D2" s="106"/>
      <c r="E2" s="106"/>
      <c r="F2" s="106"/>
      <c r="G2" s="11"/>
      <c r="H2" s="11"/>
      <c r="I2" s="11"/>
      <c r="V2" s="38">
        <f>D15/D14</f>
        <v>1.4444444444444444</v>
      </c>
      <c r="W2" s="49">
        <f>X2*C7</f>
        <v>70.211999999999989</v>
      </c>
      <c r="X2" s="50">
        <v>58.51</v>
      </c>
      <c r="Y2" s="49">
        <f>X2*$E$7</f>
        <v>50.903700000000001</v>
      </c>
      <c r="Z2" s="38">
        <f>E15/E14</f>
        <v>1.4444444444444444</v>
      </c>
      <c r="AB2" s="1">
        <f>F14*Z2</f>
        <v>86.666666666666671</v>
      </c>
      <c r="AG2" s="106" t="s">
        <v>21</v>
      </c>
      <c r="AH2" s="106"/>
      <c r="AI2" s="106"/>
      <c r="AJ2" s="106"/>
      <c r="AK2" s="106"/>
      <c r="AL2" s="106"/>
      <c r="AO2" s="106" t="s">
        <v>21</v>
      </c>
      <c r="AP2" s="106"/>
      <c r="AQ2" s="106"/>
      <c r="AR2" s="106"/>
      <c r="AS2" s="106"/>
      <c r="AT2" s="106"/>
      <c r="BJ2" s="106" t="s">
        <v>21</v>
      </c>
      <c r="BK2" s="106"/>
      <c r="BL2" s="106"/>
      <c r="BM2" s="106"/>
      <c r="BN2" s="106"/>
      <c r="BO2" s="106"/>
      <c r="BR2" s="106" t="s">
        <v>21</v>
      </c>
      <c r="BS2" s="106"/>
      <c r="BT2" s="106"/>
      <c r="BU2" s="106"/>
      <c r="BV2" s="106"/>
      <c r="BW2" s="106"/>
    </row>
    <row r="3" spans="1:75" ht="41.45" customHeight="1" x14ac:dyDescent="0.35">
      <c r="A3" s="105" t="s">
        <v>22</v>
      </c>
      <c r="B3" s="105"/>
      <c r="C3" s="105"/>
      <c r="D3" s="105"/>
      <c r="E3" s="105"/>
      <c r="F3" s="105"/>
      <c r="G3" s="12"/>
      <c r="H3" s="12"/>
      <c r="I3" s="12"/>
      <c r="W3" s="50">
        <v>105.71</v>
      </c>
      <c r="X3" s="49">
        <f>W3/C7</f>
        <v>88.091666666666669</v>
      </c>
      <c r="Y3" s="49">
        <f>X3*$E$7</f>
        <v>76.639750000000006</v>
      </c>
      <c r="AG3" s="104" t="s">
        <v>22</v>
      </c>
      <c r="AH3" s="104"/>
      <c r="AI3" s="104"/>
      <c r="AJ3" s="104"/>
      <c r="AK3" s="104"/>
      <c r="AL3" s="104"/>
      <c r="AO3" s="104" t="s">
        <v>22</v>
      </c>
      <c r="AP3" s="104"/>
      <c r="AQ3" s="104"/>
      <c r="AR3" s="104"/>
      <c r="AS3" s="104"/>
      <c r="AT3" s="104"/>
      <c r="BJ3" s="104" t="s">
        <v>22</v>
      </c>
      <c r="BK3" s="104"/>
      <c r="BL3" s="104"/>
      <c r="BM3" s="104"/>
      <c r="BN3" s="104"/>
      <c r="BO3" s="104"/>
      <c r="BR3" s="104" t="s">
        <v>22</v>
      </c>
      <c r="BS3" s="104"/>
      <c r="BT3" s="104"/>
      <c r="BU3" s="104"/>
      <c r="BV3" s="104"/>
      <c r="BW3" s="104"/>
    </row>
    <row r="4" spans="1:75" s="2" customFormat="1" ht="23.25" x14ac:dyDescent="0.35">
      <c r="A4" s="103" t="s">
        <v>23</v>
      </c>
      <c r="B4" s="103"/>
      <c r="C4" s="103"/>
      <c r="D4" s="103"/>
      <c r="E4" s="103"/>
      <c r="F4" s="103"/>
      <c r="G4" s="13"/>
      <c r="H4" s="13"/>
      <c r="I4" s="13"/>
      <c r="W4" s="49">
        <f>X4*C7</f>
        <v>70.206896551724128</v>
      </c>
      <c r="X4" s="49">
        <f>Y4/E7</f>
        <v>58.505747126436781</v>
      </c>
      <c r="Y4" s="50">
        <v>50.9</v>
      </c>
      <c r="AG4" s="102" t="s">
        <v>23</v>
      </c>
      <c r="AH4" s="102"/>
      <c r="AI4" s="102"/>
      <c r="AJ4" s="102"/>
      <c r="AK4" s="102"/>
      <c r="AL4" s="102"/>
      <c r="AO4" s="102" t="s">
        <v>23</v>
      </c>
      <c r="AP4" s="102"/>
      <c r="AQ4" s="102"/>
      <c r="AR4" s="102"/>
      <c r="AS4" s="102"/>
      <c r="AT4" s="102"/>
      <c r="BJ4" s="102" t="s">
        <v>23</v>
      </c>
      <c r="BK4" s="102"/>
      <c r="BL4" s="102"/>
      <c r="BM4" s="102"/>
      <c r="BN4" s="102"/>
      <c r="BO4" s="102"/>
      <c r="BR4" s="102" t="s">
        <v>23</v>
      </c>
      <c r="BS4" s="102"/>
      <c r="BT4" s="102"/>
      <c r="BU4" s="102"/>
      <c r="BV4" s="102"/>
      <c r="BW4" s="102"/>
    </row>
    <row r="5" spans="1:75" hidden="1" outlineLevel="1" x14ac:dyDescent="0.3">
      <c r="C5" s="23" t="s">
        <v>0</v>
      </c>
      <c r="D5" s="23"/>
      <c r="E5" s="23"/>
      <c r="F5" s="23"/>
      <c r="AI5" s="23" t="s">
        <v>0</v>
      </c>
      <c r="AJ5" s="23"/>
      <c r="AK5" s="23"/>
      <c r="AL5" s="23"/>
      <c r="AQ5" s="23" t="s">
        <v>0</v>
      </c>
      <c r="AR5" s="23"/>
      <c r="AS5" s="23"/>
      <c r="AT5" s="23"/>
      <c r="BL5" s="23" t="s">
        <v>0</v>
      </c>
      <c r="BM5" s="23"/>
      <c r="BN5" s="23"/>
      <c r="BO5" s="23"/>
      <c r="BT5" s="23" t="s">
        <v>0</v>
      </c>
      <c r="BU5" s="23"/>
      <c r="BV5" s="23"/>
      <c r="BW5" s="23"/>
    </row>
    <row r="6" spans="1:75" hidden="1" outlineLevel="1" x14ac:dyDescent="0.3">
      <c r="C6" s="24" t="s">
        <v>1</v>
      </c>
      <c r="D6" s="24" t="s">
        <v>2</v>
      </c>
      <c r="E6" s="24" t="s">
        <v>3</v>
      </c>
      <c r="F6" s="24" t="s">
        <v>4</v>
      </c>
      <c r="AI6" s="24" t="s">
        <v>1</v>
      </c>
      <c r="AJ6" s="24" t="s">
        <v>2</v>
      </c>
      <c r="AK6" s="24" t="s">
        <v>3</v>
      </c>
      <c r="AL6" s="24" t="s">
        <v>4</v>
      </c>
      <c r="AQ6" s="24" t="s">
        <v>1</v>
      </c>
      <c r="AR6" s="24" t="s">
        <v>2</v>
      </c>
      <c r="AS6" s="24" t="s">
        <v>3</v>
      </c>
      <c r="AT6" s="24" t="s">
        <v>4</v>
      </c>
      <c r="BL6" s="24" t="s">
        <v>1</v>
      </c>
      <c r="BM6" s="24" t="s">
        <v>2</v>
      </c>
      <c r="BN6" s="24" t="s">
        <v>3</v>
      </c>
      <c r="BO6" s="24" t="s">
        <v>4</v>
      </c>
      <c r="BT6" s="24" t="s">
        <v>1</v>
      </c>
      <c r="BU6" s="24" t="s">
        <v>2</v>
      </c>
      <c r="BV6" s="24" t="s">
        <v>3</v>
      </c>
      <c r="BW6" s="24" t="s">
        <v>4</v>
      </c>
    </row>
    <row r="7" spans="1:75" hidden="1" outlineLevel="1" x14ac:dyDescent="0.3">
      <c r="B7" s="25"/>
      <c r="C7" s="26">
        <v>1.2</v>
      </c>
      <c r="D7" s="26">
        <v>1</v>
      </c>
      <c r="E7" s="26">
        <v>0.87</v>
      </c>
      <c r="F7" s="26">
        <v>0.56999999999999995</v>
      </c>
      <c r="AH7" s="25"/>
      <c r="AI7" s="26">
        <v>1.2</v>
      </c>
      <c r="AJ7" s="26">
        <v>1</v>
      </c>
      <c r="AK7" s="26">
        <v>0.87</v>
      </c>
      <c r="AL7" s="26">
        <v>0.56999999999999995</v>
      </c>
      <c r="AP7" s="25"/>
      <c r="AQ7" s="26">
        <v>1.2</v>
      </c>
      <c r="AR7" s="26">
        <v>1</v>
      </c>
      <c r="AS7" s="26">
        <v>0.87</v>
      </c>
      <c r="AT7" s="26">
        <v>0.56999999999999995</v>
      </c>
      <c r="BK7" s="25"/>
      <c r="BL7" s="26">
        <v>1.2</v>
      </c>
      <c r="BM7" s="26">
        <v>1</v>
      </c>
      <c r="BN7" s="26">
        <v>0.87</v>
      </c>
      <c r="BO7" s="26">
        <v>0.56999999999999995</v>
      </c>
      <c r="BS7" s="25"/>
      <c r="BT7" s="26">
        <v>1.2</v>
      </c>
      <c r="BU7" s="26">
        <v>1</v>
      </c>
      <c r="BV7" s="26">
        <v>0.87</v>
      </c>
      <c r="BW7" s="26">
        <v>0.56999999999999995</v>
      </c>
    </row>
    <row r="8" spans="1:75" hidden="1" outlineLevel="1" x14ac:dyDescent="0.3">
      <c r="B8" s="97"/>
      <c r="C8" s="97"/>
      <c r="D8" s="97"/>
      <c r="E8" s="34"/>
      <c r="F8" s="34"/>
      <c r="AH8" s="25"/>
      <c r="AI8" s="34"/>
      <c r="AJ8" s="34"/>
      <c r="AK8" s="34"/>
      <c r="AL8" s="34"/>
      <c r="AP8" s="25"/>
      <c r="AQ8" s="34"/>
      <c r="AR8" s="34"/>
      <c r="AS8" s="34"/>
      <c r="AT8" s="34"/>
      <c r="BK8" s="97"/>
      <c r="BL8" s="97"/>
      <c r="BM8" s="97"/>
      <c r="BN8" s="34"/>
      <c r="BO8" s="34"/>
      <c r="BS8" s="97"/>
      <c r="BT8" s="97"/>
      <c r="BU8" s="97"/>
      <c r="BV8" s="34"/>
      <c r="BW8" s="34"/>
    </row>
    <row r="9" spans="1:75" outlineLevel="1" x14ac:dyDescent="0.3">
      <c r="B9" s="100" t="s">
        <v>59</v>
      </c>
      <c r="C9" s="100"/>
      <c r="D9" s="100"/>
      <c r="E9" s="34"/>
      <c r="F9" s="34"/>
      <c r="AH9" s="25"/>
      <c r="AI9" s="34"/>
      <c r="AJ9" s="34"/>
      <c r="AK9" s="34"/>
      <c r="AL9" s="34"/>
      <c r="AP9" s="25"/>
      <c r="AQ9" s="34"/>
      <c r="AR9" s="34"/>
      <c r="AS9" s="34"/>
      <c r="AT9" s="34"/>
      <c r="BK9" s="93"/>
      <c r="BL9" s="93"/>
      <c r="BM9" s="93"/>
      <c r="BN9" s="34"/>
      <c r="BO9" s="34"/>
      <c r="BS9" s="93"/>
      <c r="BT9" s="93"/>
      <c r="BU9" s="93"/>
      <c r="BV9" s="34"/>
      <c r="BW9" s="34"/>
    </row>
    <row r="10" spans="1:75" x14ac:dyDescent="0.3">
      <c r="B10" s="27"/>
      <c r="C10" s="27"/>
      <c r="D10" s="27"/>
      <c r="E10" s="27"/>
      <c r="F10" s="22" t="s">
        <v>5</v>
      </c>
      <c r="O10" s="1" t="s">
        <v>13</v>
      </c>
      <c r="P10" s="1" t="s">
        <v>15</v>
      </c>
      <c r="Q10" s="1" t="s">
        <v>30</v>
      </c>
      <c r="AH10" s="27"/>
      <c r="AI10" s="27"/>
      <c r="AJ10" s="27"/>
      <c r="AK10" s="27"/>
      <c r="AL10" s="22" t="s">
        <v>5</v>
      </c>
      <c r="AP10" s="27"/>
      <c r="AQ10" s="27"/>
      <c r="AR10" s="27"/>
      <c r="AS10" s="27"/>
      <c r="AT10" s="22" t="s">
        <v>5</v>
      </c>
      <c r="BK10" s="27"/>
      <c r="BL10" s="27"/>
      <c r="BM10" s="27"/>
      <c r="BN10" s="27"/>
      <c r="BO10" s="22" t="s">
        <v>5</v>
      </c>
      <c r="BS10" s="27"/>
      <c r="BT10" s="27"/>
      <c r="BU10" s="27"/>
      <c r="BV10" s="27"/>
      <c r="BW10" s="22" t="s">
        <v>5</v>
      </c>
    </row>
    <row r="11" spans="1:75" s="5" customFormat="1" ht="44.25" customHeight="1" x14ac:dyDescent="0.3">
      <c r="A11" s="107" t="s">
        <v>6</v>
      </c>
      <c r="B11" s="28" t="s">
        <v>7</v>
      </c>
      <c r="C11" s="29" t="s">
        <v>1</v>
      </c>
      <c r="D11" s="29" t="s">
        <v>2</v>
      </c>
      <c r="E11" s="29" t="s">
        <v>3</v>
      </c>
      <c r="F11" s="29" t="s">
        <v>4</v>
      </c>
      <c r="G11" s="3" t="s">
        <v>8</v>
      </c>
      <c r="H11" s="4"/>
      <c r="M11" s="5" t="s">
        <v>28</v>
      </c>
      <c r="N11" s="37">
        <f>(C13+D13+E13+F14+E14+D14+C14+C15+D15+E15+F15+F18+F19+E19+E18+E17+D17+D18+D19+C19+C18+C17+22.33+27.73)/24</f>
        <v>85.250770833333334</v>
      </c>
      <c r="O11" s="39">
        <f>(C13+D13+E13+C17+D17+E17+22.33+27.73)/8</f>
        <v>57.200312499999995</v>
      </c>
      <c r="P11" s="39">
        <f>(C14+D14+E14+F14+F18+E18+D18+C18)/8</f>
        <v>82.298749999999998</v>
      </c>
      <c r="Q11" s="39">
        <f>(C15+D15+E15+F15+F19+E19+D19+C19)/8</f>
        <v>116.25324999999999</v>
      </c>
      <c r="R11" s="37">
        <f>(O11+P11+Q11)/3</f>
        <v>85.25077083333332</v>
      </c>
      <c r="AD11" s="5" t="s">
        <v>38</v>
      </c>
      <c r="AG11" s="107" t="s">
        <v>6</v>
      </c>
      <c r="AH11" s="55" t="s">
        <v>7</v>
      </c>
      <c r="AI11" s="29" t="s">
        <v>1</v>
      </c>
      <c r="AJ11" s="29" t="s">
        <v>2</v>
      </c>
      <c r="AK11" s="29" t="s">
        <v>3</v>
      </c>
      <c r="AL11" s="29" t="s">
        <v>4</v>
      </c>
      <c r="AO11" s="107" t="s">
        <v>6</v>
      </c>
      <c r="AP11" s="67" t="s">
        <v>7</v>
      </c>
      <c r="AQ11" s="29" t="s">
        <v>1</v>
      </c>
      <c r="AR11" s="29" t="s">
        <v>2</v>
      </c>
      <c r="AS11" s="29" t="s">
        <v>3</v>
      </c>
      <c r="AT11" s="29" t="s">
        <v>4</v>
      </c>
      <c r="BJ11" s="107" t="s">
        <v>6</v>
      </c>
      <c r="BK11" s="85" t="s">
        <v>7</v>
      </c>
      <c r="BL11" s="29" t="s">
        <v>1</v>
      </c>
      <c r="BM11" s="29" t="s">
        <v>2</v>
      </c>
      <c r="BN11" s="29" t="s">
        <v>3</v>
      </c>
      <c r="BO11" s="29" t="s">
        <v>4</v>
      </c>
      <c r="BR11" s="107" t="s">
        <v>6</v>
      </c>
      <c r="BS11" s="92" t="s">
        <v>7</v>
      </c>
      <c r="BT11" s="29" t="s">
        <v>1</v>
      </c>
      <c r="BU11" s="29" t="s">
        <v>2</v>
      </c>
      <c r="BV11" s="29" t="s">
        <v>3</v>
      </c>
      <c r="BW11" s="29" t="s">
        <v>4</v>
      </c>
    </row>
    <row r="12" spans="1:75" ht="40.5" hidden="1" customHeight="1" x14ac:dyDescent="0.2">
      <c r="A12" s="108"/>
      <c r="B12" s="30" t="s">
        <v>9</v>
      </c>
      <c r="C12" s="31" t="s">
        <v>10</v>
      </c>
      <c r="D12" s="31" t="s">
        <v>10</v>
      </c>
      <c r="E12" s="31" t="s">
        <v>10</v>
      </c>
      <c r="F12" s="36" t="s">
        <v>11</v>
      </c>
      <c r="G12" s="6"/>
      <c r="H12" s="6"/>
      <c r="M12" s="40" t="s">
        <v>29</v>
      </c>
      <c r="N12" s="41">
        <f>(C22+C23+D23+D22+E22+E23+E26+E27+D27+D26+C26+C27+C30+C31+D30+D31+E30+E31+20.74+59.49+19.16+38.7+53.52)/23</f>
        <v>88.361490683229832</v>
      </c>
      <c r="O12" s="43">
        <f>(20.74+19.16)/2</f>
        <v>19.95</v>
      </c>
      <c r="P12" s="42">
        <f>(C22+D22+E22+E26+D26+C26+C30+D30+E30+38.7)/10</f>
        <v>74.655428571428573</v>
      </c>
      <c r="Q12" s="42">
        <f>(C23+D23+E23+E27+D27+C27+C31+D31+E31+59.49+0+53.52)/11</f>
        <v>113.25999999999999</v>
      </c>
      <c r="R12" s="37">
        <f>(O12+P12+Q12)/3</f>
        <v>69.288476190476189</v>
      </c>
      <c r="AG12" s="108"/>
      <c r="AH12" s="30" t="s">
        <v>9</v>
      </c>
      <c r="AI12" s="31" t="s">
        <v>10</v>
      </c>
      <c r="AJ12" s="31" t="s">
        <v>10</v>
      </c>
      <c r="AK12" s="31" t="s">
        <v>10</v>
      </c>
      <c r="AL12" s="36" t="s">
        <v>11</v>
      </c>
      <c r="AO12" s="108"/>
      <c r="AP12" s="30" t="s">
        <v>9</v>
      </c>
      <c r="AQ12" s="31" t="s">
        <v>10</v>
      </c>
      <c r="AR12" s="31" t="s">
        <v>10</v>
      </c>
      <c r="AS12" s="31" t="s">
        <v>10</v>
      </c>
      <c r="AT12" s="36" t="s">
        <v>11</v>
      </c>
      <c r="BJ12" s="108"/>
      <c r="BK12" s="30" t="s">
        <v>9</v>
      </c>
      <c r="BL12" s="31" t="s">
        <v>10</v>
      </c>
      <c r="BM12" s="31" t="s">
        <v>10</v>
      </c>
      <c r="BN12" s="31" t="s">
        <v>10</v>
      </c>
      <c r="BO12" s="36" t="s">
        <v>11</v>
      </c>
      <c r="BR12" s="108"/>
      <c r="BS12" s="30" t="s">
        <v>9</v>
      </c>
      <c r="BT12" s="31" t="s">
        <v>10</v>
      </c>
      <c r="BU12" s="31" t="s">
        <v>10</v>
      </c>
      <c r="BV12" s="31" t="s">
        <v>10</v>
      </c>
      <c r="BW12" s="36" t="s">
        <v>11</v>
      </c>
    </row>
    <row r="13" spans="1:75" ht="23.45" customHeight="1" x14ac:dyDescent="0.2">
      <c r="A13" s="98" t="s">
        <v>12</v>
      </c>
      <c r="B13" s="45" t="s">
        <v>13</v>
      </c>
      <c r="C13" s="46">
        <f>D13*$C$7</f>
        <v>81</v>
      </c>
      <c r="D13" s="46">
        <f>D14*75%</f>
        <v>67.5</v>
      </c>
      <c r="E13" s="46">
        <f>D13*$E$7</f>
        <v>58.725000000000001</v>
      </c>
      <c r="F13" s="45" t="s">
        <v>14</v>
      </c>
      <c r="G13" s="7">
        <v>0.1</v>
      </c>
      <c r="H13" s="8"/>
      <c r="J13" s="9">
        <v>0.75</v>
      </c>
      <c r="R13" s="42">
        <f>(R11+R12)/2</f>
        <v>77.269623511904754</v>
      </c>
      <c r="U13" s="1">
        <f>D13/'[1]промсклад '!$D$18*100-100</f>
        <v>-37.015955957824019</v>
      </c>
      <c r="AG13" s="98" t="s">
        <v>12</v>
      </c>
      <c r="AH13" s="45" t="s">
        <v>13</v>
      </c>
      <c r="AI13" s="46">
        <f>AJ13*$C$7</f>
        <v>128.60399999999998</v>
      </c>
      <c r="AJ13" s="46">
        <v>107.17</v>
      </c>
      <c r="AK13" s="46">
        <f>AJ13*$E$7</f>
        <v>93.237899999999996</v>
      </c>
      <c r="AL13" s="45" t="s">
        <v>14</v>
      </c>
      <c r="AO13" s="98" t="s">
        <v>12</v>
      </c>
      <c r="AP13" s="45" t="s">
        <v>13</v>
      </c>
      <c r="AQ13" s="46">
        <f>AR13*$C$7</f>
        <v>247.79999999999998</v>
      </c>
      <c r="AR13" s="45">
        <f>AR14*0.5</f>
        <v>206.5</v>
      </c>
      <c r="AS13" s="46">
        <f>AR13*$E$7+0.34</f>
        <v>179.995</v>
      </c>
      <c r="AT13" s="45" t="s">
        <v>14</v>
      </c>
      <c r="AV13" s="38">
        <f>C13-AQ13</f>
        <v>-166.79999999999998</v>
      </c>
      <c r="AW13" s="38">
        <f t="shared" ref="AW13:AY15" si="0">D13-AR13</f>
        <v>-139</v>
      </c>
      <c r="AX13" s="38">
        <f t="shared" si="0"/>
        <v>-121.27000000000001</v>
      </c>
      <c r="AY13" s="38" t="e">
        <f t="shared" si="0"/>
        <v>#VALUE!</v>
      </c>
      <c r="BA13" s="38">
        <f>(C14+C13+C15+D15+D14+D13+E13+E14+E15+F15+F14)/11</f>
        <v>93.147727272727266</v>
      </c>
      <c r="BB13" s="38">
        <f>(AR13+AQ13+AQ14+AQ15+AR15+AR14+AS15+AS14+AS13+AT14+AT15)/11</f>
        <v>366.78090909090906</v>
      </c>
      <c r="BC13" s="38">
        <f>BA13-BB13</f>
        <v>-273.63318181818181</v>
      </c>
      <c r="BG13" s="38"/>
      <c r="BJ13" s="98" t="s">
        <v>12</v>
      </c>
      <c r="BK13" s="45" t="s">
        <v>13</v>
      </c>
      <c r="BL13" s="86">
        <f>BM13*$C$7</f>
        <v>162</v>
      </c>
      <c r="BM13" s="87">
        <v>135</v>
      </c>
      <c r="BN13" s="86">
        <f>BM13*$E$7+0.05</f>
        <v>117.5</v>
      </c>
      <c r="BO13" s="45" t="s">
        <v>14</v>
      </c>
      <c r="BR13" s="98" t="s">
        <v>58</v>
      </c>
      <c r="BS13" s="45" t="s">
        <v>13</v>
      </c>
      <c r="BT13" s="46">
        <f>BU13*$C$7</f>
        <v>62.4</v>
      </c>
      <c r="BU13" s="46">
        <f>BU14*75%+0.25</f>
        <v>52</v>
      </c>
      <c r="BV13" s="46">
        <f>BU13*$E$7+0.06</f>
        <v>45.300000000000004</v>
      </c>
      <c r="BW13" s="45" t="s">
        <v>14</v>
      </c>
    </row>
    <row r="14" spans="1:75" ht="23.45" customHeight="1" x14ac:dyDescent="0.2">
      <c r="A14" s="99"/>
      <c r="B14" s="45" t="s">
        <v>15</v>
      </c>
      <c r="C14" s="46">
        <f>D14*$C$7</f>
        <v>108</v>
      </c>
      <c r="D14" s="54">
        <v>90</v>
      </c>
      <c r="E14" s="46">
        <f>D14*$E$7</f>
        <v>78.3</v>
      </c>
      <c r="F14" s="54">
        <v>60</v>
      </c>
      <c r="G14" s="7">
        <v>0.7</v>
      </c>
      <c r="H14" s="8"/>
      <c r="U14" s="10">
        <f>D14/'[1]промсклад '!$D$19*100-100</f>
        <v>-51.327672921962034</v>
      </c>
      <c r="AA14" s="51"/>
      <c r="AB14" s="51"/>
      <c r="AC14" s="51"/>
      <c r="AD14" s="51">
        <f>D14*F7</f>
        <v>51.3</v>
      </c>
      <c r="AE14" s="51"/>
      <c r="AF14" s="51"/>
      <c r="AG14" s="99"/>
      <c r="AH14" s="45" t="s">
        <v>15</v>
      </c>
      <c r="AI14" s="44">
        <f>AJ14*$C$7</f>
        <v>253.96799999999996</v>
      </c>
      <c r="AJ14" s="44">
        <v>211.64</v>
      </c>
      <c r="AK14" s="44">
        <f>AJ14*$E$7</f>
        <v>184.12679999999997</v>
      </c>
      <c r="AL14" s="44">
        <v>137.49</v>
      </c>
      <c r="AO14" s="99"/>
      <c r="AP14" s="45" t="s">
        <v>15</v>
      </c>
      <c r="AQ14" s="46">
        <f>AR14*$C$7</f>
        <v>495.59999999999997</v>
      </c>
      <c r="AR14" s="54">
        <v>413</v>
      </c>
      <c r="AS14" s="46">
        <f>AR14*$E$7+0.19</f>
        <v>359.5</v>
      </c>
      <c r="AT14" s="54">
        <v>294</v>
      </c>
      <c r="AV14" s="38">
        <f t="shared" ref="AV14:AV15" si="1">C14-AQ14</f>
        <v>-387.59999999999997</v>
      </c>
      <c r="AW14" s="38">
        <f t="shared" si="0"/>
        <v>-323</v>
      </c>
      <c r="AX14" s="38">
        <f t="shared" si="0"/>
        <v>-281.2</v>
      </c>
      <c r="AY14" s="38">
        <f t="shared" si="0"/>
        <v>-234</v>
      </c>
      <c r="BJ14" s="99"/>
      <c r="BK14" s="45" t="s">
        <v>15</v>
      </c>
      <c r="BL14" s="86">
        <f>BM14*$C$7</f>
        <v>307.2</v>
      </c>
      <c r="BM14" s="88">
        <v>256</v>
      </c>
      <c r="BN14" s="86">
        <f>BM14*$E$7+0.08</f>
        <v>222.8</v>
      </c>
      <c r="BO14" s="88">
        <v>163</v>
      </c>
      <c r="BR14" s="99"/>
      <c r="BS14" s="45" t="s">
        <v>15</v>
      </c>
      <c r="BT14" s="46">
        <f>BU14*$C$7</f>
        <v>82.8</v>
      </c>
      <c r="BU14" s="54">
        <v>69</v>
      </c>
      <c r="BV14" s="46">
        <f>BU14*$E$7-0.03</f>
        <v>60</v>
      </c>
      <c r="BW14" s="54">
        <v>60</v>
      </c>
    </row>
    <row r="15" spans="1:75" ht="23.45" customHeight="1" x14ac:dyDescent="0.2">
      <c r="A15" s="99"/>
      <c r="B15" s="45" t="s">
        <v>16</v>
      </c>
      <c r="C15" s="46">
        <f>D15*$C$7</f>
        <v>156</v>
      </c>
      <c r="D15" s="44">
        <f>D14*1.4+4</f>
        <v>130</v>
      </c>
      <c r="E15" s="44">
        <f>D15*$E$7</f>
        <v>113.1</v>
      </c>
      <c r="F15" s="45">
        <v>82</v>
      </c>
      <c r="G15" s="7">
        <f>1-G13-G14</f>
        <v>0.20000000000000007</v>
      </c>
      <c r="H15" s="8"/>
      <c r="J15" s="9">
        <v>1.4</v>
      </c>
      <c r="U15" s="38">
        <f>D15/'[1]промсклад '!$D$20*100-100</f>
        <v>-48.176200916882593</v>
      </c>
      <c r="AA15" s="51">
        <f>D15/D14</f>
        <v>1.4444444444444444</v>
      </c>
      <c r="AB15" s="51"/>
      <c r="AC15" s="51"/>
      <c r="AD15" s="51">
        <f>D15*F7</f>
        <v>74.099999999999994</v>
      </c>
      <c r="AE15" s="51"/>
      <c r="AF15" s="51"/>
      <c r="AG15" s="99"/>
      <c r="AH15" s="45" t="s">
        <v>16</v>
      </c>
      <c r="AI15" s="44">
        <f>AJ15*$C$7</f>
        <v>307.33199999999999</v>
      </c>
      <c r="AJ15" s="44">
        <v>256.11</v>
      </c>
      <c r="AK15" s="44">
        <f>AJ15*$E$7</f>
        <v>222.81570000000002</v>
      </c>
      <c r="AL15" s="44">
        <v>159.68</v>
      </c>
      <c r="AO15" s="99"/>
      <c r="AP15" s="45" t="s">
        <v>16</v>
      </c>
      <c r="AQ15" s="46">
        <f>AR15*$C$7</f>
        <v>580.19999999999993</v>
      </c>
      <c r="AR15" s="45">
        <v>483.5</v>
      </c>
      <c r="AS15" s="45">
        <f>AR15*$E$7+0.35+30</f>
        <v>450.995</v>
      </c>
      <c r="AT15" s="45">
        <v>323.5</v>
      </c>
      <c r="AV15" s="38">
        <f t="shared" si="1"/>
        <v>-424.19999999999993</v>
      </c>
      <c r="AW15" s="38">
        <f t="shared" si="0"/>
        <v>-353.5</v>
      </c>
      <c r="AX15" s="38">
        <f t="shared" si="0"/>
        <v>-337.89499999999998</v>
      </c>
      <c r="AY15" s="38">
        <f t="shared" si="0"/>
        <v>-241.5</v>
      </c>
      <c r="BJ15" s="99"/>
      <c r="BK15" s="45" t="s">
        <v>16</v>
      </c>
      <c r="BL15" s="86">
        <f>BM15*$C$7</f>
        <v>361.2</v>
      </c>
      <c r="BM15" s="87">
        <v>301</v>
      </c>
      <c r="BN15" s="87">
        <f>BM15*$E$7+0.03</f>
        <v>261.89999999999998</v>
      </c>
      <c r="BO15" s="87">
        <v>194</v>
      </c>
      <c r="BR15" s="99"/>
      <c r="BS15" s="45" t="s">
        <v>16</v>
      </c>
      <c r="BT15" s="46">
        <f>BU15*$C$7</f>
        <v>124.19999999999999</v>
      </c>
      <c r="BU15" s="45">
        <v>103.5</v>
      </c>
      <c r="BV15" s="46">
        <f>BU15*$E$7-0.05</f>
        <v>89.995000000000005</v>
      </c>
      <c r="BW15" s="45">
        <v>82</v>
      </c>
    </row>
    <row r="16" spans="1:75" ht="23.45" customHeight="1" x14ac:dyDescent="0.2">
      <c r="A16" s="111"/>
      <c r="B16" s="112"/>
      <c r="C16" s="112"/>
      <c r="D16" s="112"/>
      <c r="E16" s="112"/>
      <c r="F16" s="112"/>
      <c r="G16" s="10"/>
      <c r="H16" s="10"/>
      <c r="U16" s="38"/>
      <c r="AA16" s="51"/>
      <c r="AB16" s="51"/>
      <c r="AC16" s="51"/>
      <c r="AD16" s="51"/>
      <c r="AE16" s="51"/>
      <c r="AF16" s="51"/>
      <c r="AG16" s="111"/>
      <c r="AH16" s="112"/>
      <c r="AI16" s="112"/>
      <c r="AJ16" s="112"/>
      <c r="AK16" s="112"/>
      <c r="AL16" s="112"/>
      <c r="AO16" s="111"/>
      <c r="AP16" s="112"/>
      <c r="AQ16" s="112"/>
      <c r="AR16" s="112"/>
      <c r="AS16" s="112"/>
      <c r="AT16" s="112"/>
      <c r="BJ16" s="111"/>
      <c r="BK16" s="112"/>
      <c r="BL16" s="112"/>
      <c r="BM16" s="112"/>
      <c r="BN16" s="112"/>
      <c r="BO16" s="112"/>
      <c r="BR16" s="111"/>
      <c r="BS16" s="112"/>
      <c r="BT16" s="112"/>
      <c r="BU16" s="112"/>
      <c r="BV16" s="112"/>
      <c r="BW16" s="112"/>
    </row>
    <row r="17" spans="1:75" ht="23.45" customHeight="1" x14ac:dyDescent="0.2">
      <c r="A17" s="98" t="s">
        <v>17</v>
      </c>
      <c r="B17" s="47" t="s">
        <v>13</v>
      </c>
      <c r="C17" s="46">
        <f>D17*$C$7</f>
        <v>78.3</v>
      </c>
      <c r="D17" s="46">
        <f>D18*75%</f>
        <v>65.25</v>
      </c>
      <c r="E17" s="46">
        <f>D17*$E$7</f>
        <v>56.767499999999998</v>
      </c>
      <c r="F17" s="45" t="s">
        <v>14</v>
      </c>
      <c r="G17" s="7">
        <v>0.1</v>
      </c>
      <c r="H17" s="10"/>
      <c r="J17" s="38">
        <f>D17/D18</f>
        <v>0.75</v>
      </c>
      <c r="U17" s="10">
        <f>D17/'[1]промсклад '!$D$22*100-100</f>
        <v>-22.899680964197088</v>
      </c>
      <c r="V17" s="1">
        <f>V18+V19+V20</f>
        <v>250</v>
      </c>
      <c r="Z17" s="1">
        <f>AB17/V17</f>
        <v>109.908</v>
      </c>
      <c r="AA17" s="51"/>
      <c r="AB17" s="51">
        <f>AB18+AB19+AB20</f>
        <v>27477</v>
      </c>
      <c r="AC17" s="51"/>
      <c r="AD17" s="51"/>
      <c r="AE17" s="51"/>
      <c r="AF17" s="51"/>
      <c r="AG17" s="98" t="s">
        <v>17</v>
      </c>
      <c r="AH17" s="47" t="s">
        <v>13</v>
      </c>
      <c r="AI17" s="46">
        <f>AJ17*$C$7</f>
        <v>117.036</v>
      </c>
      <c r="AJ17" s="44">
        <v>97.53</v>
      </c>
      <c r="AK17" s="46">
        <f>AJ17*$E$7</f>
        <v>84.851100000000002</v>
      </c>
      <c r="AL17" s="45" t="s">
        <v>14</v>
      </c>
      <c r="AO17" s="98" t="s">
        <v>17</v>
      </c>
      <c r="AP17" s="47" t="s">
        <v>13</v>
      </c>
      <c r="AQ17" s="46">
        <f>AR17*$C$7</f>
        <v>257.39999999999998</v>
      </c>
      <c r="AR17" s="45">
        <f>AR18*0.5+0.25</f>
        <v>214.5</v>
      </c>
      <c r="AS17" s="46">
        <f>AR17*$E$7+0.38</f>
        <v>186.995</v>
      </c>
      <c r="AT17" s="45" t="s">
        <v>14</v>
      </c>
      <c r="AV17" s="38">
        <f>C17-AQ17</f>
        <v>-179.09999999999997</v>
      </c>
      <c r="AW17" s="38">
        <f t="shared" ref="AW17:AW19" si="2">D17-AR17</f>
        <v>-149.25</v>
      </c>
      <c r="AX17" s="38">
        <f t="shared" ref="AX17:AX19" si="3">E17-AS17</f>
        <v>-130.22750000000002</v>
      </c>
      <c r="AY17" s="38" t="e">
        <f t="shared" ref="AY17:AY18" si="4">F17-AT17</f>
        <v>#VALUE!</v>
      </c>
      <c r="BA17" s="38">
        <f>(C18+C17+C19+D19+D18+D17+E17+E18+E19+F19+F18)/11</f>
        <v>88.303045454545455</v>
      </c>
      <c r="BB17" s="38">
        <f>(AR17+AQ17+AQ18+AQ19+AR19+AR18+AS19+AS18+AS17+AT18+AT19)/11</f>
        <v>366.53545454545451</v>
      </c>
      <c r="BC17" s="38">
        <f>BA17-BB17</f>
        <v>-278.23240909090907</v>
      </c>
      <c r="BJ17" s="98" t="s">
        <v>17</v>
      </c>
      <c r="BK17" s="47" t="s">
        <v>13</v>
      </c>
      <c r="BL17" s="86">
        <f>BM17*$C$7</f>
        <v>165.6</v>
      </c>
      <c r="BM17" s="87">
        <v>138</v>
      </c>
      <c r="BN17" s="86">
        <f>BM17*$E$7-0.06</f>
        <v>120</v>
      </c>
      <c r="BO17" s="45" t="s">
        <v>14</v>
      </c>
      <c r="BR17" s="98" t="s">
        <v>17</v>
      </c>
      <c r="BS17" s="47" t="s">
        <v>13</v>
      </c>
      <c r="BT17" s="46">
        <f>BU17*$C$7</f>
        <v>78.3</v>
      </c>
      <c r="BU17" s="46">
        <f>BU18*75%</f>
        <v>65.25</v>
      </c>
      <c r="BV17" s="46">
        <f>BU17*$E$7</f>
        <v>56.767499999999998</v>
      </c>
      <c r="BW17" s="45" t="s">
        <v>14</v>
      </c>
    </row>
    <row r="18" spans="1:75" ht="23.45" customHeight="1" x14ac:dyDescent="0.2">
      <c r="A18" s="99"/>
      <c r="B18" s="47" t="s">
        <v>15</v>
      </c>
      <c r="C18" s="46">
        <f>D18*$C$7</f>
        <v>104.39999999999999</v>
      </c>
      <c r="D18" s="46">
        <f>D19/1.4</f>
        <v>87</v>
      </c>
      <c r="E18" s="46">
        <f>D18*$E$7</f>
        <v>75.69</v>
      </c>
      <c r="F18" s="45">
        <v>55</v>
      </c>
      <c r="G18" s="7">
        <v>0.7</v>
      </c>
      <c r="H18" s="10"/>
      <c r="J18" s="38"/>
      <c r="T18" s="1" t="s">
        <v>35</v>
      </c>
      <c r="U18" s="10">
        <f>D18/'[1]промсклад '!$D$23*100-100</f>
        <v>-54.092132341301244</v>
      </c>
      <c r="V18" s="1">
        <v>20</v>
      </c>
      <c r="Z18" s="1">
        <v>160</v>
      </c>
      <c r="AA18" s="51"/>
      <c r="AB18" s="51">
        <f>Z18*V18</f>
        <v>3200</v>
      </c>
      <c r="AC18" s="51"/>
      <c r="AD18" s="51"/>
      <c r="AE18" s="51"/>
      <c r="AF18" s="51"/>
      <c r="AG18" s="99"/>
      <c r="AH18" s="47" t="s">
        <v>15</v>
      </c>
      <c r="AI18" s="46">
        <f>AJ18*$C$7</f>
        <v>240.636</v>
      </c>
      <c r="AJ18" s="44">
        <v>200.53</v>
      </c>
      <c r="AK18" s="46">
        <f>AJ18*$E$7</f>
        <v>174.46109999999999</v>
      </c>
      <c r="AL18" s="44">
        <v>128.61000000000001</v>
      </c>
      <c r="AO18" s="99"/>
      <c r="AP18" s="47" t="s">
        <v>15</v>
      </c>
      <c r="AQ18" s="46">
        <f>AR18*$C$7</f>
        <v>514.19999999999993</v>
      </c>
      <c r="AR18" s="45">
        <v>428.5</v>
      </c>
      <c r="AS18" s="46">
        <f>AR18*$E$7+0.2</f>
        <v>372.995</v>
      </c>
      <c r="AT18" s="45">
        <v>271</v>
      </c>
      <c r="AV18" s="38">
        <f t="shared" ref="AV18:AV19" si="5">C18-AQ18</f>
        <v>-409.79999999999995</v>
      </c>
      <c r="AW18" s="38">
        <f t="shared" si="2"/>
        <v>-341.5</v>
      </c>
      <c r="AX18" s="38">
        <f t="shared" si="3"/>
        <v>-297.30500000000001</v>
      </c>
      <c r="AY18" s="38">
        <f t="shared" si="4"/>
        <v>-216</v>
      </c>
      <c r="BJ18" s="99"/>
      <c r="BK18" s="47" t="s">
        <v>15</v>
      </c>
      <c r="BL18" s="86">
        <f>BM18*$C$7</f>
        <v>242.39999999999998</v>
      </c>
      <c r="BM18" s="87">
        <v>202</v>
      </c>
      <c r="BN18" s="86">
        <f>BM18*$E$7+0.06</f>
        <v>175.8</v>
      </c>
      <c r="BO18" s="87">
        <v>130</v>
      </c>
      <c r="BR18" s="99"/>
      <c r="BS18" s="47" t="s">
        <v>15</v>
      </c>
      <c r="BT18" s="46">
        <f>BU18*$C$7</f>
        <v>104.39999999999999</v>
      </c>
      <c r="BU18" s="46">
        <f>BU19/1.4</f>
        <v>87</v>
      </c>
      <c r="BV18" s="46">
        <f>BU18*$E$7</f>
        <v>75.69</v>
      </c>
      <c r="BW18" s="45">
        <v>55</v>
      </c>
    </row>
    <row r="19" spans="1:75" ht="23.45" customHeight="1" x14ac:dyDescent="0.2">
      <c r="A19" s="99"/>
      <c r="B19" s="47" t="s">
        <v>16</v>
      </c>
      <c r="C19" s="46">
        <f>D19*$C$7</f>
        <v>146.16</v>
      </c>
      <c r="D19" s="54">
        <v>121.8</v>
      </c>
      <c r="E19" s="46">
        <f>D19*$E$7</f>
        <v>105.96599999999999</v>
      </c>
      <c r="F19" s="54">
        <v>75</v>
      </c>
      <c r="G19" s="7">
        <f>1-G17-G18</f>
        <v>0.20000000000000007</v>
      </c>
      <c r="H19" s="10"/>
      <c r="J19" s="38">
        <f>D19/D18</f>
        <v>1.4</v>
      </c>
      <c r="T19" s="1" t="s">
        <v>36</v>
      </c>
      <c r="U19" s="1">
        <f>D19/'[1]промсклад '!$D$24*100-100</f>
        <v>-51.764286562908403</v>
      </c>
      <c r="V19" s="1">
        <v>130</v>
      </c>
      <c r="Z19" s="1">
        <v>130</v>
      </c>
      <c r="AA19" s="51">
        <f>D19/D18</f>
        <v>1.4</v>
      </c>
      <c r="AB19" s="51">
        <f>Z19*V19</f>
        <v>16900</v>
      </c>
      <c r="AG19" s="99"/>
      <c r="AH19" s="47" t="s">
        <v>16</v>
      </c>
      <c r="AI19" s="46">
        <f>AJ19*$C$7</f>
        <v>303.012</v>
      </c>
      <c r="AJ19" s="54">
        <v>252.51</v>
      </c>
      <c r="AK19" s="46">
        <f>AJ19*$E$7</f>
        <v>219.68369999999999</v>
      </c>
      <c r="AL19" s="54">
        <v>158.85</v>
      </c>
      <c r="AO19" s="99"/>
      <c r="AP19" s="47" t="s">
        <v>16</v>
      </c>
      <c r="AQ19" s="46">
        <f>AR19*$C$7</f>
        <v>574.79999999999995</v>
      </c>
      <c r="AR19" s="54">
        <v>479</v>
      </c>
      <c r="AS19" s="46">
        <f>AR19*$E$7+0.27</f>
        <v>417</v>
      </c>
      <c r="AT19" s="54">
        <v>315.5</v>
      </c>
      <c r="AV19" s="38">
        <f t="shared" si="5"/>
        <v>-428.64</v>
      </c>
      <c r="AW19" s="38">
        <f t="shared" si="2"/>
        <v>-357.2</v>
      </c>
      <c r="AX19" s="38">
        <f t="shared" si="3"/>
        <v>-311.03399999999999</v>
      </c>
      <c r="AY19" s="38">
        <f>F19-AT19</f>
        <v>-240.5</v>
      </c>
      <c r="BJ19" s="99"/>
      <c r="BK19" s="47" t="s">
        <v>16</v>
      </c>
      <c r="BL19" s="86">
        <f>BM19*$C$7</f>
        <v>306</v>
      </c>
      <c r="BM19" s="88">
        <v>255</v>
      </c>
      <c r="BN19" s="86">
        <f>BM19*$E$7+0.05</f>
        <v>221.9</v>
      </c>
      <c r="BO19" s="88">
        <f>BO15*0.8-0.2</f>
        <v>155.00000000000003</v>
      </c>
      <c r="BR19" s="99"/>
      <c r="BS19" s="47" t="s">
        <v>16</v>
      </c>
      <c r="BT19" s="46">
        <f>BU19*$C$7</f>
        <v>146.16</v>
      </c>
      <c r="BU19" s="54">
        <v>121.8</v>
      </c>
      <c r="BV19" s="46">
        <f>BU19*$E$7</f>
        <v>105.96599999999999</v>
      </c>
      <c r="BW19" s="54">
        <v>75</v>
      </c>
    </row>
    <row r="20" spans="1:75" ht="23.45" customHeight="1" x14ac:dyDescent="0.2">
      <c r="A20" s="111"/>
      <c r="B20" s="112"/>
      <c r="C20" s="112"/>
      <c r="D20" s="112"/>
      <c r="E20" s="112"/>
      <c r="F20" s="112"/>
      <c r="J20" s="38"/>
      <c r="T20" s="1" t="s">
        <v>37</v>
      </c>
      <c r="V20" s="1">
        <v>100</v>
      </c>
      <c r="Z20" s="1">
        <v>73.77</v>
      </c>
      <c r="AB20" s="51">
        <f>Z20*V20</f>
        <v>7377</v>
      </c>
      <c r="AG20" s="111"/>
      <c r="AH20" s="112"/>
      <c r="AI20" s="112"/>
      <c r="AJ20" s="112"/>
      <c r="AK20" s="112"/>
      <c r="AL20" s="112"/>
      <c r="AO20" s="111"/>
      <c r="AP20" s="112"/>
      <c r="AQ20" s="112"/>
      <c r="AR20" s="112"/>
      <c r="AS20" s="112"/>
      <c r="AT20" s="112"/>
      <c r="BJ20" s="111"/>
      <c r="BK20" s="112"/>
      <c r="BL20" s="112"/>
      <c r="BM20" s="112"/>
      <c r="BN20" s="112"/>
      <c r="BO20" s="112"/>
      <c r="BR20" s="111"/>
      <c r="BS20" s="112"/>
      <c r="BT20" s="112"/>
      <c r="BU20" s="112"/>
      <c r="BV20" s="112"/>
      <c r="BW20" s="112"/>
    </row>
    <row r="21" spans="1:75" ht="23.45" customHeight="1" x14ac:dyDescent="0.2">
      <c r="A21" s="98" t="s">
        <v>18</v>
      </c>
      <c r="B21" s="47" t="s">
        <v>13</v>
      </c>
      <c r="C21" s="45" t="s">
        <v>14</v>
      </c>
      <c r="D21" s="45" t="s">
        <v>14</v>
      </c>
      <c r="E21" s="45" t="s">
        <v>14</v>
      </c>
      <c r="F21" s="45" t="s">
        <v>14</v>
      </c>
      <c r="G21" s="7">
        <v>0.1</v>
      </c>
      <c r="H21" s="10"/>
      <c r="AG21" s="98" t="s">
        <v>18</v>
      </c>
      <c r="AH21" s="47" t="s">
        <v>13</v>
      </c>
      <c r="AI21" s="45" t="s">
        <v>14</v>
      </c>
      <c r="AJ21" s="45" t="s">
        <v>14</v>
      </c>
      <c r="AK21" s="45" t="s">
        <v>14</v>
      </c>
      <c r="AL21" s="45" t="s">
        <v>14</v>
      </c>
      <c r="AO21" s="98" t="s">
        <v>18</v>
      </c>
      <c r="AP21" s="47" t="s">
        <v>13</v>
      </c>
      <c r="AQ21" s="45" t="s">
        <v>14</v>
      </c>
      <c r="AR21" s="45" t="s">
        <v>14</v>
      </c>
      <c r="AS21" s="45" t="s">
        <v>14</v>
      </c>
      <c r="AT21" s="45" t="s">
        <v>14</v>
      </c>
      <c r="AV21" s="38" t="e">
        <f>C21-AQ21</f>
        <v>#VALUE!</v>
      </c>
      <c r="AW21" s="38" t="e">
        <f t="shared" ref="AW21:AW23" si="6">D21-AR21</f>
        <v>#VALUE!</v>
      </c>
      <c r="AX21" s="38" t="e">
        <f t="shared" ref="AX21:AX23" si="7">E21-AS21</f>
        <v>#VALUE!</v>
      </c>
      <c r="AY21" s="38" t="e">
        <f t="shared" ref="AY21:AY23" si="8">F21-AT21</f>
        <v>#VALUE!</v>
      </c>
      <c r="BA21" s="38">
        <f>(C22+C23+D22+D23+E22+E23)/6</f>
        <v>108.7325</v>
      </c>
      <c r="BB21" s="38">
        <f>(AQ22+AR22+AS22+AS23+AR23+AQ23)/6</f>
        <v>255.11676910919539</v>
      </c>
      <c r="BC21" s="38">
        <f>BA21-BB21</f>
        <v>-146.38426910919537</v>
      </c>
      <c r="BJ21" s="98" t="s">
        <v>18</v>
      </c>
      <c r="BK21" s="47" t="s">
        <v>13</v>
      </c>
      <c r="BL21" s="45" t="s">
        <v>14</v>
      </c>
      <c r="BM21" s="45" t="s">
        <v>14</v>
      </c>
      <c r="BN21" s="45" t="s">
        <v>14</v>
      </c>
      <c r="BO21" s="45" t="s">
        <v>14</v>
      </c>
      <c r="BR21" s="98" t="s">
        <v>18</v>
      </c>
      <c r="BS21" s="47" t="s">
        <v>13</v>
      </c>
      <c r="BT21" s="45" t="s">
        <v>14</v>
      </c>
      <c r="BU21" s="45" t="s">
        <v>14</v>
      </c>
      <c r="BV21" s="45" t="s">
        <v>14</v>
      </c>
      <c r="BW21" s="45" t="s">
        <v>14</v>
      </c>
    </row>
    <row r="22" spans="1:75" ht="23.45" customHeight="1" x14ac:dyDescent="0.2">
      <c r="A22" s="99"/>
      <c r="B22" s="47" t="s">
        <v>15</v>
      </c>
      <c r="C22" s="46">
        <f>D22*$C$7</f>
        <v>106.2</v>
      </c>
      <c r="D22" s="45">
        <f>D30</f>
        <v>88.5</v>
      </c>
      <c r="E22" s="46">
        <f>D22*$E$7</f>
        <v>76.995000000000005</v>
      </c>
      <c r="F22" s="45" t="s">
        <v>14</v>
      </c>
      <c r="G22" s="7">
        <v>0.7</v>
      </c>
      <c r="H22" s="10"/>
      <c r="U22" s="38">
        <f>D22/'[1]промсклад '!$D$27*100-100</f>
        <v>28.652420409943289</v>
      </c>
      <c r="AG22" s="99"/>
      <c r="AH22" s="47" t="s">
        <v>15</v>
      </c>
      <c r="AI22" s="46">
        <f>AJ22*$C$7</f>
        <v>157.18800000000002</v>
      </c>
      <c r="AJ22" s="44">
        <v>130.99</v>
      </c>
      <c r="AK22" s="46">
        <f>AJ22*$E$7</f>
        <v>113.96130000000001</v>
      </c>
      <c r="AL22" s="45" t="s">
        <v>14</v>
      </c>
      <c r="AO22" s="99"/>
      <c r="AP22" s="47" t="s">
        <v>15</v>
      </c>
      <c r="AQ22" s="46">
        <f>AR22*$C$7-0.01</f>
        <v>265.79537931034486</v>
      </c>
      <c r="AR22" s="45">
        <f>192.3/0.87+0.47</f>
        <v>221.5044827586207</v>
      </c>
      <c r="AS22" s="46">
        <f>AR22*$E$7+0.29</f>
        <v>192.99889999999999</v>
      </c>
      <c r="AT22" s="45" t="s">
        <v>14</v>
      </c>
      <c r="AV22" s="38">
        <f t="shared" ref="AV22:AV23" si="9">C22-AQ22</f>
        <v>-159.59537931034487</v>
      </c>
      <c r="AW22" s="38">
        <f t="shared" si="6"/>
        <v>-133.0044827586207</v>
      </c>
      <c r="AX22" s="38">
        <f t="shared" si="7"/>
        <v>-116.00389999999999</v>
      </c>
      <c r="AY22" s="38" t="e">
        <f t="shared" si="8"/>
        <v>#VALUE!</v>
      </c>
      <c r="BJ22" s="99"/>
      <c r="BK22" s="47" t="s">
        <v>15</v>
      </c>
      <c r="BL22" s="86">
        <f>BM22*$C$7</f>
        <v>216</v>
      </c>
      <c r="BM22" s="87">
        <v>180</v>
      </c>
      <c r="BN22" s="86">
        <f>BM22*$E$7</f>
        <v>156.6</v>
      </c>
      <c r="BO22" s="45" t="s">
        <v>14</v>
      </c>
      <c r="BR22" s="99"/>
      <c r="BS22" s="47" t="s">
        <v>15</v>
      </c>
      <c r="BT22" s="46">
        <f>BU22*$C$7</f>
        <v>106.2</v>
      </c>
      <c r="BU22" s="45">
        <f>BU30</f>
        <v>88.5</v>
      </c>
      <c r="BV22" s="46">
        <f>BU22*$E$7</f>
        <v>76.995000000000005</v>
      </c>
      <c r="BW22" s="45" t="s">
        <v>14</v>
      </c>
    </row>
    <row r="23" spans="1:75" ht="23.45" customHeight="1" x14ac:dyDescent="0.2">
      <c r="A23" s="99"/>
      <c r="B23" s="47" t="s">
        <v>16</v>
      </c>
      <c r="C23" s="46">
        <f>D23*$C$7</f>
        <v>148.79999999999998</v>
      </c>
      <c r="D23" s="46">
        <f>D22*140%+0.1</f>
        <v>123.99999999999999</v>
      </c>
      <c r="E23" s="46">
        <f>D23*$E$7+0.02</f>
        <v>107.89999999999998</v>
      </c>
      <c r="F23" s="45" t="s">
        <v>14</v>
      </c>
      <c r="G23" s="7">
        <f>1-G21-G22</f>
        <v>0.20000000000000007</v>
      </c>
      <c r="H23" s="10"/>
      <c r="U23" s="38">
        <f>D23/'[1]промсклад '!$D$28*100-100</f>
        <v>39.986452923910576</v>
      </c>
      <c r="AG23" s="99"/>
      <c r="AH23" s="47" t="s">
        <v>16</v>
      </c>
      <c r="AI23" s="46">
        <f>AJ23*$C$7</f>
        <v>196.48500000000001</v>
      </c>
      <c r="AJ23" s="44">
        <f>AJ22*1.25</f>
        <v>163.73750000000001</v>
      </c>
      <c r="AK23" s="46">
        <f>AJ23*$E$7</f>
        <v>142.45162500000001</v>
      </c>
      <c r="AL23" s="45" t="s">
        <v>14</v>
      </c>
      <c r="AO23" s="99"/>
      <c r="AP23" s="47" t="s">
        <v>16</v>
      </c>
      <c r="AQ23" s="46">
        <f>AR23*$C$7</f>
        <v>332.40072413793104</v>
      </c>
      <c r="AR23" s="46">
        <f>AR22*1.25+0.12</f>
        <v>277.00060344827585</v>
      </c>
      <c r="AS23" s="46">
        <f>AR23*$E$7+0.01</f>
        <v>241.00052499999998</v>
      </c>
      <c r="AT23" s="45" t="s">
        <v>14</v>
      </c>
      <c r="AV23" s="38">
        <f t="shared" si="9"/>
        <v>-183.60072413793105</v>
      </c>
      <c r="AW23" s="38">
        <f t="shared" si="6"/>
        <v>-153.00060344827585</v>
      </c>
      <c r="AX23" s="38">
        <f t="shared" si="7"/>
        <v>-133.100525</v>
      </c>
      <c r="AY23" s="38" t="e">
        <f t="shared" si="8"/>
        <v>#VALUE!</v>
      </c>
      <c r="BJ23" s="99"/>
      <c r="BK23" s="47" t="s">
        <v>16</v>
      </c>
      <c r="BL23" s="86">
        <f>BM23*$C$7</f>
        <v>259.2</v>
      </c>
      <c r="BM23" s="86">
        <f>BM22*1.2</f>
        <v>216</v>
      </c>
      <c r="BN23" s="86">
        <f>BM23*$E$7+0.08</f>
        <v>188</v>
      </c>
      <c r="BO23" s="45" t="s">
        <v>14</v>
      </c>
      <c r="BR23" s="99"/>
      <c r="BS23" s="47" t="s">
        <v>16</v>
      </c>
      <c r="BT23" s="46">
        <f>BU23*$C$7</f>
        <v>148.79999999999998</v>
      </c>
      <c r="BU23" s="46">
        <f>BU22*140%+0.1</f>
        <v>123.99999999999999</v>
      </c>
      <c r="BV23" s="46">
        <f>BU23*$E$7+0.02</f>
        <v>107.89999999999998</v>
      </c>
      <c r="BW23" s="45" t="s">
        <v>14</v>
      </c>
    </row>
    <row r="24" spans="1:75" ht="23.45" customHeight="1" x14ac:dyDescent="0.2">
      <c r="A24" s="111"/>
      <c r="B24" s="112"/>
      <c r="C24" s="112"/>
      <c r="D24" s="112"/>
      <c r="E24" s="112"/>
      <c r="F24" s="112"/>
      <c r="G24" s="10"/>
      <c r="H24" s="10"/>
      <c r="AG24" s="111"/>
      <c r="AH24" s="112"/>
      <c r="AI24" s="112"/>
      <c r="AJ24" s="112"/>
      <c r="AK24" s="112"/>
      <c r="AL24" s="112"/>
      <c r="AO24" s="111"/>
      <c r="AP24" s="112"/>
      <c r="AQ24" s="112"/>
      <c r="AR24" s="112"/>
      <c r="AS24" s="112"/>
      <c r="AT24" s="112"/>
      <c r="BJ24" s="111"/>
      <c r="BK24" s="112"/>
      <c r="BL24" s="112"/>
      <c r="BM24" s="112"/>
      <c r="BN24" s="112"/>
      <c r="BO24" s="112"/>
      <c r="BR24" s="111"/>
      <c r="BS24" s="112"/>
      <c r="BT24" s="112"/>
      <c r="BU24" s="112"/>
      <c r="BV24" s="112"/>
      <c r="BW24" s="112"/>
    </row>
    <row r="25" spans="1:75" ht="23.45" customHeight="1" x14ac:dyDescent="0.2">
      <c r="A25" s="98" t="s">
        <v>19</v>
      </c>
      <c r="B25" s="47" t="s">
        <v>13</v>
      </c>
      <c r="C25" s="45" t="s">
        <v>14</v>
      </c>
      <c r="D25" s="45" t="s">
        <v>14</v>
      </c>
      <c r="E25" s="45" t="s">
        <v>14</v>
      </c>
      <c r="F25" s="45" t="s">
        <v>14</v>
      </c>
      <c r="G25" s="7">
        <v>0.6</v>
      </c>
      <c r="H25" s="10"/>
      <c r="AG25" s="98" t="s">
        <v>19</v>
      </c>
      <c r="AH25" s="47" t="s">
        <v>13</v>
      </c>
      <c r="AI25" s="45" t="s">
        <v>14</v>
      </c>
      <c r="AJ25" s="45" t="s">
        <v>14</v>
      </c>
      <c r="AK25" s="45" t="s">
        <v>14</v>
      </c>
      <c r="AL25" s="45" t="s">
        <v>14</v>
      </c>
      <c r="AO25" s="98" t="s">
        <v>19</v>
      </c>
      <c r="AP25" s="47" t="s">
        <v>13</v>
      </c>
      <c r="AQ25" s="45" t="s">
        <v>14</v>
      </c>
      <c r="AR25" s="45" t="s">
        <v>14</v>
      </c>
      <c r="AS25" s="45" t="s">
        <v>14</v>
      </c>
      <c r="AT25" s="45" t="s">
        <v>14</v>
      </c>
      <c r="AV25" s="38" t="e">
        <f>C25-AQ25</f>
        <v>#VALUE!</v>
      </c>
      <c r="AW25" s="38" t="e">
        <f t="shared" ref="AW25:AW27" si="10">D25-AR25</f>
        <v>#VALUE!</v>
      </c>
      <c r="AX25" s="38" t="e">
        <f t="shared" ref="AX25:AX27" si="11">E25-AS25</f>
        <v>#VALUE!</v>
      </c>
      <c r="AY25" s="38" t="e">
        <f t="shared" ref="AY25:AY27" si="12">F25-AT25</f>
        <v>#VALUE!</v>
      </c>
      <c r="BA25" s="38">
        <f>(C26+C27+D26+D27+E26+E27)/6</f>
        <v>65.785714285714292</v>
      </c>
      <c r="BB25" s="38">
        <f>(AQ26+AR26+AS26+AS27+AR27+AQ27)/6</f>
        <v>282.93003984674328</v>
      </c>
      <c r="BC25" s="38">
        <f>BA25-BB25</f>
        <v>-217.14432556102901</v>
      </c>
      <c r="BJ25" s="98" t="s">
        <v>19</v>
      </c>
      <c r="BK25" s="47" t="s">
        <v>13</v>
      </c>
      <c r="BL25" s="45" t="s">
        <v>14</v>
      </c>
      <c r="BM25" s="45" t="s">
        <v>14</v>
      </c>
      <c r="BN25" s="45" t="s">
        <v>14</v>
      </c>
      <c r="BO25" s="45" t="s">
        <v>14</v>
      </c>
      <c r="BR25" s="98" t="s">
        <v>19</v>
      </c>
      <c r="BS25" s="47" t="s">
        <v>13</v>
      </c>
      <c r="BT25" s="45" t="s">
        <v>14</v>
      </c>
      <c r="BU25" s="45" t="s">
        <v>14</v>
      </c>
      <c r="BV25" s="45" t="s">
        <v>14</v>
      </c>
      <c r="BW25" s="45" t="s">
        <v>14</v>
      </c>
    </row>
    <row r="26" spans="1:75" ht="23.45" customHeight="1" x14ac:dyDescent="0.2">
      <c r="A26" s="99"/>
      <c r="B26" s="47" t="s">
        <v>15</v>
      </c>
      <c r="C26" s="46">
        <f>D26*$C$7</f>
        <v>64.285714285714292</v>
      </c>
      <c r="D26" s="46">
        <f>D27/140%</f>
        <v>53.571428571428577</v>
      </c>
      <c r="E26" s="45">
        <f>D26*$E$7</f>
        <v>46.607142857142861</v>
      </c>
      <c r="F26" s="45" t="s">
        <v>14</v>
      </c>
      <c r="G26" s="7">
        <v>0.2</v>
      </c>
      <c r="H26" s="10"/>
      <c r="U26" s="10">
        <f>D26/'[1]промсклад '!$D$31*100-100</f>
        <v>-39.535633666559164</v>
      </c>
      <c r="AG26" s="99"/>
      <c r="AH26" s="47" t="s">
        <v>15</v>
      </c>
      <c r="AI26" s="46">
        <f>AJ26*$C$7</f>
        <v>147.88799999999998</v>
      </c>
      <c r="AJ26" s="44">
        <v>123.24</v>
      </c>
      <c r="AK26" s="46">
        <f>AJ26*$E$7</f>
        <v>107.2188</v>
      </c>
      <c r="AL26" s="45" t="s">
        <v>14</v>
      </c>
      <c r="AO26" s="99"/>
      <c r="AP26" s="47" t="s">
        <v>15</v>
      </c>
      <c r="AQ26" s="46">
        <f>AR26*$C$7</f>
        <v>295.19641379310343</v>
      </c>
      <c r="AR26" s="46">
        <f>214/0.87+0.02</f>
        <v>245.99701149425289</v>
      </c>
      <c r="AS26" s="45">
        <f>AR26*$E$7-0.02</f>
        <v>213.9974</v>
      </c>
      <c r="AT26" s="45" t="s">
        <v>14</v>
      </c>
      <c r="AV26" s="38">
        <f t="shared" ref="AV26:AV27" si="13">C26-AQ26</f>
        <v>-230.91069950738915</v>
      </c>
      <c r="AW26" s="38">
        <f t="shared" si="10"/>
        <v>-192.4255829228243</v>
      </c>
      <c r="AX26" s="38">
        <f t="shared" si="11"/>
        <v>-167.39025714285714</v>
      </c>
      <c r="AY26" s="38" t="e">
        <f t="shared" si="12"/>
        <v>#VALUE!</v>
      </c>
      <c r="BJ26" s="99"/>
      <c r="BK26" s="47" t="s">
        <v>15</v>
      </c>
      <c r="BL26" s="86">
        <f>BM26*$C$7</f>
        <v>216</v>
      </c>
      <c r="BM26" s="86">
        <v>180</v>
      </c>
      <c r="BN26" s="87">
        <f>BM26*$E$7</f>
        <v>156.6</v>
      </c>
      <c r="BO26" s="45" t="s">
        <v>14</v>
      </c>
      <c r="BR26" s="99"/>
      <c r="BS26" s="47" t="s">
        <v>15</v>
      </c>
      <c r="BT26" s="46">
        <f>BU26*$C$7</f>
        <v>64.285714285714292</v>
      </c>
      <c r="BU26" s="46">
        <f>BU27/140%</f>
        <v>53.571428571428577</v>
      </c>
      <c r="BV26" s="45">
        <f>BU26*$E$7</f>
        <v>46.607142857142861</v>
      </c>
      <c r="BW26" s="45" t="s">
        <v>14</v>
      </c>
    </row>
    <row r="27" spans="1:75" ht="23.45" customHeight="1" x14ac:dyDescent="0.2">
      <c r="A27" s="99"/>
      <c r="B27" s="47" t="s">
        <v>16</v>
      </c>
      <c r="C27" s="46">
        <f>D27*$C$7</f>
        <v>90</v>
      </c>
      <c r="D27" s="89">
        <v>75</v>
      </c>
      <c r="E27" s="45">
        <f>D27*$E$7</f>
        <v>65.25</v>
      </c>
      <c r="F27" s="45" t="s">
        <v>14</v>
      </c>
      <c r="G27" s="7">
        <f>1-G25-G26</f>
        <v>0.2</v>
      </c>
      <c r="H27" s="10"/>
      <c r="U27" s="10">
        <f>D27/'[1]промсклад '!$D$32*100-100</f>
        <v>-33.077540822700087</v>
      </c>
      <c r="AG27" s="99"/>
      <c r="AH27" s="47" t="s">
        <v>16</v>
      </c>
      <c r="AI27" s="46">
        <f>AJ27*$C$7</f>
        <v>164.53200000000001</v>
      </c>
      <c r="AJ27" s="44">
        <v>137.11000000000001</v>
      </c>
      <c r="AK27" s="46">
        <f>AJ27*$E$7</f>
        <v>119.28570000000001</v>
      </c>
      <c r="AL27" s="45" t="s">
        <v>14</v>
      </c>
      <c r="AO27" s="99"/>
      <c r="AP27" s="47" t="s">
        <v>16</v>
      </c>
      <c r="AQ27" s="46">
        <f>AR27*$C$7</f>
        <v>368.39586206896553</v>
      </c>
      <c r="AR27" s="46">
        <f>267/0.87+0.1</f>
        <v>306.99655172413793</v>
      </c>
      <c r="AS27" s="45">
        <f>AR27*$E$7-0.09</f>
        <v>266.99700000000001</v>
      </c>
      <c r="AT27" s="45" t="s">
        <v>14</v>
      </c>
      <c r="AV27" s="38">
        <f t="shared" si="13"/>
        <v>-278.39586206896553</v>
      </c>
      <c r="AW27" s="38">
        <f t="shared" si="10"/>
        <v>-231.99655172413793</v>
      </c>
      <c r="AX27" s="38">
        <f t="shared" si="11"/>
        <v>-201.74700000000001</v>
      </c>
      <c r="AY27" s="38" t="e">
        <f t="shared" si="12"/>
        <v>#VALUE!</v>
      </c>
      <c r="BJ27" s="99"/>
      <c r="BK27" s="47" t="s">
        <v>16</v>
      </c>
      <c r="BL27" s="86">
        <f>BM27*$C$7</f>
        <v>259.2</v>
      </c>
      <c r="BM27" s="86">
        <f>BM26*1.2</f>
        <v>216</v>
      </c>
      <c r="BN27" s="87">
        <f>BM27*$E$7+0.08</f>
        <v>188</v>
      </c>
      <c r="BO27" s="45" t="s">
        <v>14</v>
      </c>
      <c r="BR27" s="99"/>
      <c r="BS27" s="47" t="s">
        <v>16</v>
      </c>
      <c r="BT27" s="46">
        <f>BU27*$C$7</f>
        <v>90</v>
      </c>
      <c r="BU27" s="89">
        <v>75</v>
      </c>
      <c r="BV27" s="45">
        <f>BU27*$E$7</f>
        <v>65.25</v>
      </c>
      <c r="BW27" s="45" t="s">
        <v>14</v>
      </c>
    </row>
    <row r="28" spans="1:75" ht="23.45" customHeight="1" x14ac:dyDescent="0.2">
      <c r="A28" s="109"/>
      <c r="B28" s="110"/>
      <c r="C28" s="110"/>
      <c r="D28" s="110"/>
      <c r="E28" s="110"/>
      <c r="F28" s="110"/>
      <c r="G28" s="10"/>
      <c r="H28" s="10"/>
      <c r="U28" s="10"/>
      <c r="AG28" s="109"/>
      <c r="AH28" s="110"/>
      <c r="AI28" s="110"/>
      <c r="AJ28" s="110"/>
      <c r="AK28" s="110"/>
      <c r="AL28" s="110"/>
      <c r="AO28" s="109"/>
      <c r="AP28" s="110"/>
      <c r="AQ28" s="110"/>
      <c r="AR28" s="110"/>
      <c r="AS28" s="110"/>
      <c r="AT28" s="110"/>
      <c r="BJ28" s="109"/>
      <c r="BK28" s="110"/>
      <c r="BL28" s="110"/>
      <c r="BM28" s="110"/>
      <c r="BN28" s="110"/>
      <c r="BO28" s="110"/>
      <c r="BR28" s="109"/>
      <c r="BS28" s="110"/>
      <c r="BT28" s="110"/>
      <c r="BU28" s="110"/>
      <c r="BV28" s="110"/>
      <c r="BW28" s="110"/>
    </row>
    <row r="29" spans="1:75" ht="23.45" customHeight="1" x14ac:dyDescent="0.2">
      <c r="A29" s="101" t="s">
        <v>20</v>
      </c>
      <c r="B29" s="33" t="s">
        <v>13</v>
      </c>
      <c r="C29" s="32" t="s">
        <v>14</v>
      </c>
      <c r="D29" s="32" t="s">
        <v>14</v>
      </c>
      <c r="E29" s="32" t="s">
        <v>14</v>
      </c>
      <c r="F29" s="32" t="s">
        <v>14</v>
      </c>
      <c r="AG29" s="101" t="s">
        <v>20</v>
      </c>
      <c r="AH29" s="33" t="s">
        <v>13</v>
      </c>
      <c r="AI29" s="32" t="s">
        <v>14</v>
      </c>
      <c r="AJ29" s="32" t="s">
        <v>14</v>
      </c>
      <c r="AK29" s="32" t="s">
        <v>14</v>
      </c>
      <c r="AL29" s="32" t="s">
        <v>14</v>
      </c>
      <c r="AO29" s="101" t="s">
        <v>20</v>
      </c>
      <c r="AP29" s="33" t="s">
        <v>13</v>
      </c>
      <c r="AQ29" s="32" t="s">
        <v>14</v>
      </c>
      <c r="AR29" s="32" t="s">
        <v>14</v>
      </c>
      <c r="AS29" s="32" t="s">
        <v>14</v>
      </c>
      <c r="AT29" s="32" t="s">
        <v>14</v>
      </c>
      <c r="AV29" s="38" t="e">
        <f>C29-AQ29</f>
        <v>#VALUE!</v>
      </c>
      <c r="AW29" s="38" t="e">
        <f t="shared" ref="AW29:AW31" si="14">D29-AR29</f>
        <v>#VALUE!</v>
      </c>
      <c r="AX29" s="38" t="e">
        <f t="shared" ref="AX29:AX31" si="15">E29-AS29</f>
        <v>#VALUE!</v>
      </c>
      <c r="AY29" s="38" t="e">
        <f t="shared" ref="AY29:AY31" si="16">F29-AT29</f>
        <v>#VALUE!</v>
      </c>
      <c r="BA29" s="38">
        <f>(C30+C31+D30+D31+E30+E31)/6</f>
        <v>132.26583333333335</v>
      </c>
      <c r="BB29" s="38">
        <f>(AQ30+AR30+AS30+AS31+AR31+AQ31)/6</f>
        <v>289.6991083333333</v>
      </c>
      <c r="BC29" s="38">
        <f>BA29-BB29</f>
        <v>-157.43327499999995</v>
      </c>
      <c r="BJ29" s="101" t="s">
        <v>20</v>
      </c>
      <c r="BK29" s="33" t="s">
        <v>13</v>
      </c>
      <c r="BL29" s="32" t="s">
        <v>14</v>
      </c>
      <c r="BM29" s="32" t="s">
        <v>14</v>
      </c>
      <c r="BN29" s="32" t="s">
        <v>14</v>
      </c>
      <c r="BO29" s="32" t="s">
        <v>14</v>
      </c>
      <c r="BR29" s="101" t="s">
        <v>20</v>
      </c>
      <c r="BS29" s="33" t="s">
        <v>13</v>
      </c>
      <c r="BT29" s="32" t="s">
        <v>14</v>
      </c>
      <c r="BU29" s="32" t="s">
        <v>14</v>
      </c>
      <c r="BV29" s="32" t="s">
        <v>14</v>
      </c>
      <c r="BW29" s="32" t="s">
        <v>14</v>
      </c>
    </row>
    <row r="30" spans="1:75" ht="23.45" customHeight="1" x14ac:dyDescent="0.2">
      <c r="A30" s="101"/>
      <c r="B30" s="33" t="s">
        <v>15</v>
      </c>
      <c r="C30" s="46">
        <f>D30*$C$7</f>
        <v>106.2</v>
      </c>
      <c r="D30" s="89">
        <v>88.5</v>
      </c>
      <c r="E30" s="46">
        <f>D30*$E$7</f>
        <v>76.995000000000005</v>
      </c>
      <c r="F30" s="32" t="s">
        <v>14</v>
      </c>
      <c r="U30" s="10">
        <f>D30/'[1]промсклад '!$D$35*100-100</f>
        <v>-3.7520391517128928</v>
      </c>
      <c r="AG30" s="101"/>
      <c r="AH30" s="33" t="s">
        <v>15</v>
      </c>
      <c r="AI30" s="46">
        <f>AJ30*$C$7</f>
        <v>134.45999999999998</v>
      </c>
      <c r="AJ30" s="44">
        <v>112.05</v>
      </c>
      <c r="AK30" s="46">
        <f>AJ30*$E$7</f>
        <v>97.483499999999992</v>
      </c>
      <c r="AL30" s="32" t="s">
        <v>14</v>
      </c>
      <c r="AO30" s="101"/>
      <c r="AP30" s="33" t="s">
        <v>15</v>
      </c>
      <c r="AQ30" s="46">
        <f>AR30*$C$7</f>
        <v>301.8</v>
      </c>
      <c r="AR30" s="45">
        <f>251.23+0.27</f>
        <v>251.5</v>
      </c>
      <c r="AS30" s="46">
        <f>AR30*$E$7+0.19</f>
        <v>218.995</v>
      </c>
      <c r="AT30" s="32" t="s">
        <v>14</v>
      </c>
      <c r="AV30" s="38">
        <f t="shared" ref="AV30:AV31" si="17">C30-AQ30</f>
        <v>-195.60000000000002</v>
      </c>
      <c r="AW30" s="38">
        <f t="shared" si="14"/>
        <v>-163</v>
      </c>
      <c r="AX30" s="38">
        <f t="shared" si="15"/>
        <v>-142</v>
      </c>
      <c r="AY30" s="38" t="e">
        <f t="shared" si="16"/>
        <v>#VALUE!</v>
      </c>
      <c r="BJ30" s="101"/>
      <c r="BK30" s="33" t="s">
        <v>15</v>
      </c>
      <c r="BL30" s="86">
        <f>BM30*$C$7</f>
        <v>216</v>
      </c>
      <c r="BM30" s="87">
        <v>180</v>
      </c>
      <c r="BN30" s="86">
        <f>BM30*$E$7</f>
        <v>156.6</v>
      </c>
      <c r="BO30" s="32" t="s">
        <v>14</v>
      </c>
      <c r="BR30" s="101"/>
      <c r="BS30" s="33" t="s">
        <v>15</v>
      </c>
      <c r="BT30" s="46">
        <f>BU30*$C$7</f>
        <v>106.2</v>
      </c>
      <c r="BU30" s="89">
        <v>88.5</v>
      </c>
      <c r="BV30" s="46">
        <f>BU30*$E$7</f>
        <v>76.995000000000005</v>
      </c>
      <c r="BW30" s="32" t="s">
        <v>14</v>
      </c>
    </row>
    <row r="31" spans="1:75" ht="23.45" customHeight="1" x14ac:dyDescent="0.2">
      <c r="A31" s="101"/>
      <c r="B31" s="33" t="s">
        <v>16</v>
      </c>
      <c r="C31" s="46">
        <f>D31*$C$7</f>
        <v>204</v>
      </c>
      <c r="D31" s="89">
        <f>170</f>
        <v>170</v>
      </c>
      <c r="E31" s="46">
        <f>D31*$E$7</f>
        <v>147.9</v>
      </c>
      <c r="F31" s="32" t="s">
        <v>14</v>
      </c>
      <c r="U31" s="10">
        <f>D31/'[1]промсклад '!$D$36*100-100</f>
        <v>28.185793997888709</v>
      </c>
      <c r="AG31" s="101"/>
      <c r="AH31" s="33" t="s">
        <v>16</v>
      </c>
      <c r="AI31" s="46">
        <f>AJ31*$C$7</f>
        <v>205.94399999999999</v>
      </c>
      <c r="AJ31" s="44">
        <v>171.62</v>
      </c>
      <c r="AK31" s="46">
        <f>AJ31*$E$7</f>
        <v>149.30940000000001</v>
      </c>
      <c r="AL31" s="32" t="s">
        <v>14</v>
      </c>
      <c r="AO31" s="101"/>
      <c r="AP31" s="33" t="s">
        <v>16</v>
      </c>
      <c r="AQ31" s="46">
        <f>AR31*$C$7+0.01</f>
        <v>377.404</v>
      </c>
      <c r="AR31" s="46">
        <f>AR30*1.25+0.12</f>
        <v>314.495</v>
      </c>
      <c r="AS31" s="46">
        <f>AR31*$E$7+0.39</f>
        <v>274.00065000000001</v>
      </c>
      <c r="AT31" s="32" t="s">
        <v>14</v>
      </c>
      <c r="AV31" s="38">
        <f t="shared" si="17"/>
        <v>-173.404</v>
      </c>
      <c r="AW31" s="38">
        <f t="shared" si="14"/>
        <v>-144.495</v>
      </c>
      <c r="AX31" s="38">
        <f t="shared" si="15"/>
        <v>-126.10065</v>
      </c>
      <c r="AY31" s="38" t="e">
        <f t="shared" si="16"/>
        <v>#VALUE!</v>
      </c>
      <c r="BJ31" s="101"/>
      <c r="BK31" s="33" t="s">
        <v>16</v>
      </c>
      <c r="BL31" s="86">
        <f>BM31*$C$7</f>
        <v>343.8</v>
      </c>
      <c r="BM31" s="86">
        <v>286.5</v>
      </c>
      <c r="BN31" s="86">
        <f>BM31*$E$7+0.04</f>
        <v>249.29499999999999</v>
      </c>
      <c r="BO31" s="32" t="s">
        <v>14</v>
      </c>
      <c r="BR31" s="101"/>
      <c r="BS31" s="33" t="s">
        <v>16</v>
      </c>
      <c r="BT31" s="46">
        <f>BU31*$C$7</f>
        <v>204</v>
      </c>
      <c r="BU31" s="89">
        <f>170</f>
        <v>170</v>
      </c>
      <c r="BV31" s="46">
        <f>BU31*$E$7</f>
        <v>147.9</v>
      </c>
      <c r="BW31" s="32" t="s">
        <v>14</v>
      </c>
    </row>
    <row r="34" spans="1:75" ht="20.25" hidden="1" customHeight="1" x14ac:dyDescent="0.2">
      <c r="A34" s="101" t="s">
        <v>31</v>
      </c>
      <c r="B34" s="33" t="s">
        <v>13</v>
      </c>
      <c r="C34" s="32" t="s">
        <v>14</v>
      </c>
      <c r="D34" s="32" t="s">
        <v>14</v>
      </c>
      <c r="E34" s="32" t="s">
        <v>14</v>
      </c>
      <c r="F34" s="32" t="s">
        <v>14</v>
      </c>
      <c r="AG34" s="101" t="s">
        <v>31</v>
      </c>
      <c r="AH34" s="33" t="s">
        <v>13</v>
      </c>
      <c r="AI34" s="32" t="s">
        <v>14</v>
      </c>
      <c r="AJ34" s="32" t="s">
        <v>14</v>
      </c>
      <c r="AK34" s="32" t="s">
        <v>14</v>
      </c>
      <c r="AL34" s="32" t="s">
        <v>14</v>
      </c>
      <c r="AO34" s="101" t="s">
        <v>31</v>
      </c>
      <c r="AP34" s="33" t="s">
        <v>13</v>
      </c>
      <c r="AQ34" s="32" t="s">
        <v>14</v>
      </c>
      <c r="AR34" s="32" t="s">
        <v>14</v>
      </c>
      <c r="AS34" s="32" t="s">
        <v>14</v>
      </c>
      <c r="AT34" s="32" t="s">
        <v>14</v>
      </c>
      <c r="BJ34" s="101" t="s">
        <v>31</v>
      </c>
      <c r="BK34" s="33" t="s">
        <v>13</v>
      </c>
      <c r="BL34" s="32" t="s">
        <v>14</v>
      </c>
      <c r="BM34" s="32" t="s">
        <v>14</v>
      </c>
      <c r="BN34" s="32" t="s">
        <v>14</v>
      </c>
      <c r="BO34" s="32" t="s">
        <v>14</v>
      </c>
      <c r="BR34" s="101" t="s">
        <v>31</v>
      </c>
      <c r="BS34" s="33" t="s">
        <v>13</v>
      </c>
      <c r="BT34" s="32" t="s">
        <v>14</v>
      </c>
      <c r="BU34" s="32" t="s">
        <v>14</v>
      </c>
      <c r="BV34" s="32" t="s">
        <v>14</v>
      </c>
      <c r="BW34" s="32" t="s">
        <v>14</v>
      </c>
    </row>
    <row r="35" spans="1:75" ht="20.25" hidden="1" customHeight="1" x14ac:dyDescent="0.2">
      <c r="A35" s="101"/>
      <c r="B35" s="33" t="s">
        <v>15</v>
      </c>
      <c r="C35" s="48">
        <f>D35*$C$7</f>
        <v>321.95789473684215</v>
      </c>
      <c r="D35" s="44">
        <f>F35/F7</f>
        <v>268.29824561403512</v>
      </c>
      <c r="E35" s="48">
        <f>D35*$E$7</f>
        <v>233.41947368421054</v>
      </c>
      <c r="F35" s="32">
        <f>'нижний склад'!F39-5</f>
        <v>152.93</v>
      </c>
      <c r="AG35" s="101"/>
      <c r="AH35" s="33" t="s">
        <v>15</v>
      </c>
      <c r="AI35" s="48">
        <f>AJ35*$C$7</f>
        <v>-10.526315789473685</v>
      </c>
      <c r="AJ35" s="44">
        <f>AL35/AL7</f>
        <v>-8.7719298245614041</v>
      </c>
      <c r="AK35" s="48">
        <f>AJ35*$E$7</f>
        <v>-7.6315789473684212</v>
      </c>
      <c r="AL35" s="32">
        <f>'нижний склад'!AE39-5</f>
        <v>-5</v>
      </c>
      <c r="AO35" s="101"/>
      <c r="AP35" s="33" t="s">
        <v>15</v>
      </c>
      <c r="AQ35" s="48">
        <f>AR35*$C$7</f>
        <v>-10.526315789473685</v>
      </c>
      <c r="AR35" s="44">
        <f>AT35/AT7</f>
        <v>-8.7719298245614041</v>
      </c>
      <c r="AS35" s="48">
        <f>AR35*$E$7</f>
        <v>-7.6315789473684212</v>
      </c>
      <c r="AT35" s="32">
        <f>'нижний склад'!AT39-5</f>
        <v>-5</v>
      </c>
      <c r="BJ35" s="101"/>
      <c r="BK35" s="33" t="s">
        <v>15</v>
      </c>
      <c r="BL35" s="48">
        <f>BM35*$C$7</f>
        <v>-10.526315789473685</v>
      </c>
      <c r="BM35" s="44">
        <f>BO35/BO7</f>
        <v>-8.7719298245614041</v>
      </c>
      <c r="BN35" s="48">
        <f>BM35*$E$7</f>
        <v>-7.6315789473684212</v>
      </c>
      <c r="BO35" s="32">
        <f>'нижний склад'!BO39-5</f>
        <v>-5</v>
      </c>
      <c r="BR35" s="101"/>
      <c r="BS35" s="33" t="s">
        <v>15</v>
      </c>
      <c r="BT35" s="48">
        <f>BU35*$C$7</f>
        <v>-10.526315789473685</v>
      </c>
      <c r="BU35" s="44">
        <f>BW35/BW7</f>
        <v>-8.7719298245614041</v>
      </c>
      <c r="BV35" s="48">
        <f>BU35*$E$7</f>
        <v>-7.6315789473684212</v>
      </c>
      <c r="BW35" s="32">
        <f>'нижний склад'!BW39-5</f>
        <v>-5</v>
      </c>
    </row>
    <row r="36" spans="1:75" ht="20.25" hidden="1" customHeight="1" x14ac:dyDescent="0.2">
      <c r="A36" s="101"/>
      <c r="B36" s="33" t="s">
        <v>16</v>
      </c>
      <c r="C36" s="48">
        <f>D36*$C$7</f>
        <v>418.54526315789479</v>
      </c>
      <c r="D36" s="46">
        <f>D35*1.3</f>
        <v>348.78771929824569</v>
      </c>
      <c r="E36" s="48">
        <f>D36*$E$7</f>
        <v>303.44531578947374</v>
      </c>
      <c r="F36" s="52">
        <f>D36*F7</f>
        <v>198.80900000000003</v>
      </c>
      <c r="AG36" s="101"/>
      <c r="AH36" s="33" t="s">
        <v>16</v>
      </c>
      <c r="AI36" s="48">
        <f>AJ36*$C$7</f>
        <v>-13.684210526315789</v>
      </c>
      <c r="AJ36" s="46">
        <f>AJ35*1.3</f>
        <v>-11.403508771929825</v>
      </c>
      <c r="AK36" s="48">
        <f>AJ36*$E$7</f>
        <v>-9.9210526315789487</v>
      </c>
      <c r="AL36" s="52">
        <f>AJ36*AL7</f>
        <v>-6.5</v>
      </c>
      <c r="AO36" s="101"/>
      <c r="AP36" s="33" t="s">
        <v>16</v>
      </c>
      <c r="AQ36" s="48">
        <f>AR36*$C$7</f>
        <v>-13.684210526315789</v>
      </c>
      <c r="AR36" s="46">
        <f>AR35*1.3</f>
        <v>-11.403508771929825</v>
      </c>
      <c r="AS36" s="48">
        <f>AR36*$E$7</f>
        <v>-9.9210526315789487</v>
      </c>
      <c r="AT36" s="52">
        <f>AR36*AT7</f>
        <v>-6.5</v>
      </c>
      <c r="BJ36" s="101"/>
      <c r="BK36" s="33" t="s">
        <v>16</v>
      </c>
      <c r="BL36" s="48">
        <f>BM36*$C$7</f>
        <v>-13.684210526315789</v>
      </c>
      <c r="BM36" s="46">
        <f>BM35*1.3</f>
        <v>-11.403508771929825</v>
      </c>
      <c r="BN36" s="48">
        <f>BM36*$E$7</f>
        <v>-9.9210526315789487</v>
      </c>
      <c r="BO36" s="52">
        <f>BM36*BO7</f>
        <v>-6.5</v>
      </c>
      <c r="BR36" s="101"/>
      <c r="BS36" s="33" t="s">
        <v>16</v>
      </c>
      <c r="BT36" s="48">
        <f>BU36*$C$7</f>
        <v>-13.684210526315789</v>
      </c>
      <c r="BU36" s="46">
        <f>BU35*1.3</f>
        <v>-11.403508771929825</v>
      </c>
      <c r="BV36" s="48">
        <f>BU36*$E$7</f>
        <v>-9.9210526315789487</v>
      </c>
      <c r="BW36" s="52">
        <f>BU36*BW7</f>
        <v>-6.5</v>
      </c>
    </row>
  </sheetData>
  <mergeCells count="74">
    <mergeCell ref="BJ13:BJ15"/>
    <mergeCell ref="BJ16:BO16"/>
    <mergeCell ref="BJ28:BO28"/>
    <mergeCell ref="BJ29:BJ31"/>
    <mergeCell ref="BJ34:BJ36"/>
    <mergeCell ref="BJ17:BJ19"/>
    <mergeCell ref="BJ20:BO20"/>
    <mergeCell ref="BJ21:BJ23"/>
    <mergeCell ref="BJ24:BO24"/>
    <mergeCell ref="BJ25:BJ27"/>
    <mergeCell ref="BJ2:BO2"/>
    <mergeCell ref="BJ3:BO3"/>
    <mergeCell ref="BJ4:BO4"/>
    <mergeCell ref="BK8:BM8"/>
    <mergeCell ref="BJ11:BJ12"/>
    <mergeCell ref="AG25:AG27"/>
    <mergeCell ref="AG28:AL28"/>
    <mergeCell ref="B8:D8"/>
    <mergeCell ref="B9:D9"/>
    <mergeCell ref="AG34:AG36"/>
    <mergeCell ref="AG29:AG31"/>
    <mergeCell ref="AG16:AL16"/>
    <mergeCell ref="AG17:AG19"/>
    <mergeCell ref="AG20:AL20"/>
    <mergeCell ref="AG21:AG23"/>
    <mergeCell ref="AG24:AL24"/>
    <mergeCell ref="AG2:AL2"/>
    <mergeCell ref="AG3:AL3"/>
    <mergeCell ref="AG4:AL4"/>
    <mergeCell ref="AG11:AG12"/>
    <mergeCell ref="AG13:AG15"/>
    <mergeCell ref="A34:A36"/>
    <mergeCell ref="A29:A31"/>
    <mergeCell ref="A24:F24"/>
    <mergeCell ref="A2:F2"/>
    <mergeCell ref="A3:F3"/>
    <mergeCell ref="A4:F4"/>
    <mergeCell ref="A11:A12"/>
    <mergeCell ref="A13:A15"/>
    <mergeCell ref="A16:F16"/>
    <mergeCell ref="A17:A19"/>
    <mergeCell ref="A20:F20"/>
    <mergeCell ref="A21:A23"/>
    <mergeCell ref="A25:A27"/>
    <mergeCell ref="A28:F28"/>
    <mergeCell ref="BR2:BW2"/>
    <mergeCell ref="BR3:BW3"/>
    <mergeCell ref="AO29:AO31"/>
    <mergeCell ref="AO34:AO36"/>
    <mergeCell ref="AO20:AT20"/>
    <mergeCell ref="AO21:AO23"/>
    <mergeCell ref="AO24:AT24"/>
    <mergeCell ref="AO25:AO27"/>
    <mergeCell ref="AO28:AT28"/>
    <mergeCell ref="AO4:AT4"/>
    <mergeCell ref="AO11:AO12"/>
    <mergeCell ref="AO13:AO15"/>
    <mergeCell ref="AO16:AT16"/>
    <mergeCell ref="AO17:AO19"/>
    <mergeCell ref="AO2:AT2"/>
    <mergeCell ref="AO3:AT3"/>
    <mergeCell ref="BR4:BW4"/>
    <mergeCell ref="BS8:BU8"/>
    <mergeCell ref="BR11:BR12"/>
    <mergeCell ref="BR13:BR15"/>
    <mergeCell ref="BR16:BW16"/>
    <mergeCell ref="BR28:BW28"/>
    <mergeCell ref="BR29:BR31"/>
    <mergeCell ref="BR34:BR36"/>
    <mergeCell ref="BR17:BR19"/>
    <mergeCell ref="BR20:BW20"/>
    <mergeCell ref="BR21:BR23"/>
    <mergeCell ref="BR24:BW24"/>
    <mergeCell ref="BR25:BR27"/>
  </mergeCells>
  <pageMargins left="0.74803149606299213" right="0.35433070866141736" top="0.19685039370078741" bottom="0.59055118110236227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S55"/>
  <sheetViews>
    <sheetView view="pageBreakPreview" zoomScale="64" zoomScaleNormal="100" zoomScaleSheetLayoutView="64" workbookViewId="0">
      <selection activeCell="T56" sqref="T56"/>
    </sheetView>
  </sheetViews>
  <sheetFormatPr defaultRowHeight="18" outlineLevelRow="1" x14ac:dyDescent="0.25"/>
  <cols>
    <col min="1" max="1" width="16.5546875" style="2" customWidth="1"/>
    <col min="2" max="2" width="18" style="2" customWidth="1"/>
    <col min="3" max="6" width="13" style="2" customWidth="1"/>
    <col min="7" max="7" width="5.44140625" style="1" hidden="1" customWidth="1"/>
    <col min="8" max="8" width="5.88671875" style="1" hidden="1" customWidth="1"/>
    <col min="9" max="9" width="0" style="1" hidden="1" customWidth="1"/>
    <col min="10" max="10" width="10.5546875" style="1" hidden="1" customWidth="1"/>
    <col min="11" max="14" width="0" style="1" hidden="1" customWidth="1"/>
    <col min="15" max="15" width="12.77734375" style="1" hidden="1" customWidth="1"/>
    <col min="16" max="16" width="0" style="1" hidden="1" customWidth="1"/>
    <col min="17" max="239" width="8.77734375" style="1"/>
    <col min="240" max="240" width="13.33203125" style="1" customWidth="1"/>
    <col min="241" max="241" width="9.5546875" style="1" customWidth="1"/>
    <col min="242" max="242" width="12.77734375" style="1" customWidth="1"/>
    <col min="243" max="243" width="10.5546875" style="1" customWidth="1"/>
    <col min="244" max="244" width="10.88671875" style="1" customWidth="1"/>
    <col min="245" max="245" width="11.21875" style="1" customWidth="1"/>
    <col min="246" max="246" width="8.77734375" style="1"/>
    <col min="247" max="247" width="11.21875" style="1" customWidth="1"/>
    <col min="248" max="495" width="8.77734375" style="1"/>
    <col min="496" max="496" width="13.33203125" style="1" customWidth="1"/>
    <col min="497" max="497" width="9.5546875" style="1" customWidth="1"/>
    <col min="498" max="498" width="12.77734375" style="1" customWidth="1"/>
    <col min="499" max="499" width="10.5546875" style="1" customWidth="1"/>
    <col min="500" max="500" width="10.88671875" style="1" customWidth="1"/>
    <col min="501" max="501" width="11.21875" style="1" customWidth="1"/>
    <col min="502" max="502" width="8.77734375" style="1"/>
    <col min="503" max="503" width="11.21875" style="1" customWidth="1"/>
    <col min="504" max="751" width="8.77734375" style="1"/>
    <col min="752" max="752" width="13.33203125" style="1" customWidth="1"/>
    <col min="753" max="753" width="9.5546875" style="1" customWidth="1"/>
    <col min="754" max="754" width="12.77734375" style="1" customWidth="1"/>
    <col min="755" max="755" width="10.5546875" style="1" customWidth="1"/>
    <col min="756" max="756" width="10.88671875" style="1" customWidth="1"/>
    <col min="757" max="757" width="11.21875" style="1" customWidth="1"/>
    <col min="758" max="758" width="8.77734375" style="1"/>
    <col min="759" max="759" width="11.21875" style="1" customWidth="1"/>
    <col min="760" max="1007" width="8.77734375" style="1"/>
    <col min="1008" max="1008" width="13.33203125" style="1" customWidth="1"/>
    <col min="1009" max="1009" width="9.5546875" style="1" customWidth="1"/>
    <col min="1010" max="1010" width="12.77734375" style="1" customWidth="1"/>
    <col min="1011" max="1011" width="10.5546875" style="1" customWidth="1"/>
    <col min="1012" max="1012" width="10.88671875" style="1" customWidth="1"/>
    <col min="1013" max="1013" width="11.21875" style="1" customWidth="1"/>
    <col min="1014" max="1014" width="8.77734375" style="1"/>
    <col min="1015" max="1015" width="11.21875" style="1" customWidth="1"/>
    <col min="1016" max="1263" width="8.77734375" style="1"/>
    <col min="1264" max="1264" width="13.33203125" style="1" customWidth="1"/>
    <col min="1265" max="1265" width="9.5546875" style="1" customWidth="1"/>
    <col min="1266" max="1266" width="12.77734375" style="1" customWidth="1"/>
    <col min="1267" max="1267" width="10.5546875" style="1" customWidth="1"/>
    <col min="1268" max="1268" width="10.88671875" style="1" customWidth="1"/>
    <col min="1269" max="1269" width="11.21875" style="1" customWidth="1"/>
    <col min="1270" max="1270" width="8.77734375" style="1"/>
    <col min="1271" max="1271" width="11.21875" style="1" customWidth="1"/>
    <col min="1272" max="1519" width="8.77734375" style="1"/>
    <col min="1520" max="1520" width="13.33203125" style="1" customWidth="1"/>
    <col min="1521" max="1521" width="9.5546875" style="1" customWidth="1"/>
    <col min="1522" max="1522" width="12.77734375" style="1" customWidth="1"/>
    <col min="1523" max="1523" width="10.5546875" style="1" customWidth="1"/>
    <col min="1524" max="1524" width="10.88671875" style="1" customWidth="1"/>
    <col min="1525" max="1525" width="11.21875" style="1" customWidth="1"/>
    <col min="1526" max="1526" width="8.77734375" style="1"/>
    <col min="1527" max="1527" width="11.21875" style="1" customWidth="1"/>
    <col min="1528" max="1775" width="8.77734375" style="1"/>
    <col min="1776" max="1776" width="13.33203125" style="1" customWidth="1"/>
    <col min="1777" max="1777" width="9.5546875" style="1" customWidth="1"/>
    <col min="1778" max="1778" width="12.77734375" style="1" customWidth="1"/>
    <col min="1779" max="1779" width="10.5546875" style="1" customWidth="1"/>
    <col min="1780" max="1780" width="10.88671875" style="1" customWidth="1"/>
    <col min="1781" max="1781" width="11.21875" style="1" customWidth="1"/>
    <col min="1782" max="1782" width="8.77734375" style="1"/>
    <col min="1783" max="1783" width="11.21875" style="1" customWidth="1"/>
    <col min="1784" max="2031" width="8.77734375" style="1"/>
    <col min="2032" max="2032" width="13.33203125" style="1" customWidth="1"/>
    <col min="2033" max="2033" width="9.5546875" style="1" customWidth="1"/>
    <col min="2034" max="2034" width="12.77734375" style="1" customWidth="1"/>
    <col min="2035" max="2035" width="10.5546875" style="1" customWidth="1"/>
    <col min="2036" max="2036" width="10.88671875" style="1" customWidth="1"/>
    <col min="2037" max="2037" width="11.21875" style="1" customWidth="1"/>
    <col min="2038" max="2038" width="8.77734375" style="1"/>
    <col min="2039" max="2039" width="11.21875" style="1" customWidth="1"/>
    <col min="2040" max="2287" width="8.77734375" style="1"/>
    <col min="2288" max="2288" width="13.33203125" style="1" customWidth="1"/>
    <col min="2289" max="2289" width="9.5546875" style="1" customWidth="1"/>
    <col min="2290" max="2290" width="12.77734375" style="1" customWidth="1"/>
    <col min="2291" max="2291" width="10.5546875" style="1" customWidth="1"/>
    <col min="2292" max="2292" width="10.88671875" style="1" customWidth="1"/>
    <col min="2293" max="2293" width="11.21875" style="1" customWidth="1"/>
    <col min="2294" max="2294" width="8.77734375" style="1"/>
    <col min="2295" max="2295" width="11.21875" style="1" customWidth="1"/>
    <col min="2296" max="2543" width="8.77734375" style="1"/>
    <col min="2544" max="2544" width="13.33203125" style="1" customWidth="1"/>
    <col min="2545" max="2545" width="9.5546875" style="1" customWidth="1"/>
    <col min="2546" max="2546" width="12.77734375" style="1" customWidth="1"/>
    <col min="2547" max="2547" width="10.5546875" style="1" customWidth="1"/>
    <col min="2548" max="2548" width="10.88671875" style="1" customWidth="1"/>
    <col min="2549" max="2549" width="11.21875" style="1" customWidth="1"/>
    <col min="2550" max="2550" width="8.77734375" style="1"/>
    <col min="2551" max="2551" width="11.21875" style="1" customWidth="1"/>
    <col min="2552" max="2799" width="8.77734375" style="1"/>
    <col min="2800" max="2800" width="13.33203125" style="1" customWidth="1"/>
    <col min="2801" max="2801" width="9.5546875" style="1" customWidth="1"/>
    <col min="2802" max="2802" width="12.77734375" style="1" customWidth="1"/>
    <col min="2803" max="2803" width="10.5546875" style="1" customWidth="1"/>
    <col min="2804" max="2804" width="10.88671875" style="1" customWidth="1"/>
    <col min="2805" max="2805" width="11.21875" style="1" customWidth="1"/>
    <col min="2806" max="2806" width="8.77734375" style="1"/>
    <col min="2807" max="2807" width="11.21875" style="1" customWidth="1"/>
    <col min="2808" max="3055" width="8.77734375" style="1"/>
    <col min="3056" max="3056" width="13.33203125" style="1" customWidth="1"/>
    <col min="3057" max="3057" width="9.5546875" style="1" customWidth="1"/>
    <col min="3058" max="3058" width="12.77734375" style="1" customWidth="1"/>
    <col min="3059" max="3059" width="10.5546875" style="1" customWidth="1"/>
    <col min="3060" max="3060" width="10.88671875" style="1" customWidth="1"/>
    <col min="3061" max="3061" width="11.21875" style="1" customWidth="1"/>
    <col min="3062" max="3062" width="8.77734375" style="1"/>
    <col min="3063" max="3063" width="11.21875" style="1" customWidth="1"/>
    <col min="3064" max="3311" width="8.77734375" style="1"/>
    <col min="3312" max="3312" width="13.33203125" style="1" customWidth="1"/>
    <col min="3313" max="3313" width="9.5546875" style="1" customWidth="1"/>
    <col min="3314" max="3314" width="12.77734375" style="1" customWidth="1"/>
    <col min="3315" max="3315" width="10.5546875" style="1" customWidth="1"/>
    <col min="3316" max="3316" width="10.88671875" style="1" customWidth="1"/>
    <col min="3317" max="3317" width="11.21875" style="1" customWidth="1"/>
    <col min="3318" max="3318" width="8.77734375" style="1"/>
    <col min="3319" max="3319" width="11.21875" style="1" customWidth="1"/>
    <col min="3320" max="3567" width="8.77734375" style="1"/>
    <col min="3568" max="3568" width="13.33203125" style="1" customWidth="1"/>
    <col min="3569" max="3569" width="9.5546875" style="1" customWidth="1"/>
    <col min="3570" max="3570" width="12.77734375" style="1" customWidth="1"/>
    <col min="3571" max="3571" width="10.5546875" style="1" customWidth="1"/>
    <col min="3572" max="3572" width="10.88671875" style="1" customWidth="1"/>
    <col min="3573" max="3573" width="11.21875" style="1" customWidth="1"/>
    <col min="3574" max="3574" width="8.77734375" style="1"/>
    <col min="3575" max="3575" width="11.21875" style="1" customWidth="1"/>
    <col min="3576" max="3823" width="8.77734375" style="1"/>
    <col min="3824" max="3824" width="13.33203125" style="1" customWidth="1"/>
    <col min="3825" max="3825" width="9.5546875" style="1" customWidth="1"/>
    <col min="3826" max="3826" width="12.77734375" style="1" customWidth="1"/>
    <col min="3827" max="3827" width="10.5546875" style="1" customWidth="1"/>
    <col min="3828" max="3828" width="10.88671875" style="1" customWidth="1"/>
    <col min="3829" max="3829" width="11.21875" style="1" customWidth="1"/>
    <col min="3830" max="3830" width="8.77734375" style="1"/>
    <col min="3831" max="3831" width="11.21875" style="1" customWidth="1"/>
    <col min="3832" max="4079" width="8.77734375" style="1"/>
    <col min="4080" max="4080" width="13.33203125" style="1" customWidth="1"/>
    <col min="4081" max="4081" width="9.5546875" style="1" customWidth="1"/>
    <col min="4082" max="4082" width="12.77734375" style="1" customWidth="1"/>
    <col min="4083" max="4083" width="10.5546875" style="1" customWidth="1"/>
    <col min="4084" max="4084" width="10.88671875" style="1" customWidth="1"/>
    <col min="4085" max="4085" width="11.21875" style="1" customWidth="1"/>
    <col min="4086" max="4086" width="8.77734375" style="1"/>
    <col min="4087" max="4087" width="11.21875" style="1" customWidth="1"/>
    <col min="4088" max="4335" width="8.77734375" style="1"/>
    <col min="4336" max="4336" width="13.33203125" style="1" customWidth="1"/>
    <col min="4337" max="4337" width="9.5546875" style="1" customWidth="1"/>
    <col min="4338" max="4338" width="12.77734375" style="1" customWidth="1"/>
    <col min="4339" max="4339" width="10.5546875" style="1" customWidth="1"/>
    <col min="4340" max="4340" width="10.88671875" style="1" customWidth="1"/>
    <col min="4341" max="4341" width="11.21875" style="1" customWidth="1"/>
    <col min="4342" max="4342" width="8.77734375" style="1"/>
    <col min="4343" max="4343" width="11.21875" style="1" customWidth="1"/>
    <col min="4344" max="4591" width="8.77734375" style="1"/>
    <col min="4592" max="4592" width="13.33203125" style="1" customWidth="1"/>
    <col min="4593" max="4593" width="9.5546875" style="1" customWidth="1"/>
    <col min="4594" max="4594" width="12.77734375" style="1" customWidth="1"/>
    <col min="4595" max="4595" width="10.5546875" style="1" customWidth="1"/>
    <col min="4596" max="4596" width="10.88671875" style="1" customWidth="1"/>
    <col min="4597" max="4597" width="11.21875" style="1" customWidth="1"/>
    <col min="4598" max="4598" width="8.77734375" style="1"/>
    <col min="4599" max="4599" width="11.21875" style="1" customWidth="1"/>
    <col min="4600" max="4847" width="8.77734375" style="1"/>
    <col min="4848" max="4848" width="13.33203125" style="1" customWidth="1"/>
    <col min="4849" max="4849" width="9.5546875" style="1" customWidth="1"/>
    <col min="4850" max="4850" width="12.77734375" style="1" customWidth="1"/>
    <col min="4851" max="4851" width="10.5546875" style="1" customWidth="1"/>
    <col min="4852" max="4852" width="10.88671875" style="1" customWidth="1"/>
    <col min="4853" max="4853" width="11.21875" style="1" customWidth="1"/>
    <col min="4854" max="4854" width="8.77734375" style="1"/>
    <col min="4855" max="4855" width="11.21875" style="1" customWidth="1"/>
    <col min="4856" max="5103" width="8.77734375" style="1"/>
    <col min="5104" max="5104" width="13.33203125" style="1" customWidth="1"/>
    <col min="5105" max="5105" width="9.5546875" style="1" customWidth="1"/>
    <col min="5106" max="5106" width="12.77734375" style="1" customWidth="1"/>
    <col min="5107" max="5107" width="10.5546875" style="1" customWidth="1"/>
    <col min="5108" max="5108" width="10.88671875" style="1" customWidth="1"/>
    <col min="5109" max="5109" width="11.21875" style="1" customWidth="1"/>
    <col min="5110" max="5110" width="8.77734375" style="1"/>
    <col min="5111" max="5111" width="11.21875" style="1" customWidth="1"/>
    <col min="5112" max="5359" width="8.77734375" style="1"/>
    <col min="5360" max="5360" width="13.33203125" style="1" customWidth="1"/>
    <col min="5361" max="5361" width="9.5546875" style="1" customWidth="1"/>
    <col min="5362" max="5362" width="12.77734375" style="1" customWidth="1"/>
    <col min="5363" max="5363" width="10.5546875" style="1" customWidth="1"/>
    <col min="5364" max="5364" width="10.88671875" style="1" customWidth="1"/>
    <col min="5365" max="5365" width="11.21875" style="1" customWidth="1"/>
    <col min="5366" max="5366" width="8.77734375" style="1"/>
    <col min="5367" max="5367" width="11.21875" style="1" customWidth="1"/>
    <col min="5368" max="5615" width="8.77734375" style="1"/>
    <col min="5616" max="5616" width="13.33203125" style="1" customWidth="1"/>
    <col min="5617" max="5617" width="9.5546875" style="1" customWidth="1"/>
    <col min="5618" max="5618" width="12.77734375" style="1" customWidth="1"/>
    <col min="5619" max="5619" width="10.5546875" style="1" customWidth="1"/>
    <col min="5620" max="5620" width="10.88671875" style="1" customWidth="1"/>
    <col min="5621" max="5621" width="11.21875" style="1" customWidth="1"/>
    <col min="5622" max="5622" width="8.77734375" style="1"/>
    <col min="5623" max="5623" width="11.21875" style="1" customWidth="1"/>
    <col min="5624" max="5871" width="8.77734375" style="1"/>
    <col min="5872" max="5872" width="13.33203125" style="1" customWidth="1"/>
    <col min="5873" max="5873" width="9.5546875" style="1" customWidth="1"/>
    <col min="5874" max="5874" width="12.77734375" style="1" customWidth="1"/>
    <col min="5875" max="5875" width="10.5546875" style="1" customWidth="1"/>
    <col min="5876" max="5876" width="10.88671875" style="1" customWidth="1"/>
    <col min="5877" max="5877" width="11.21875" style="1" customWidth="1"/>
    <col min="5878" max="5878" width="8.77734375" style="1"/>
    <col min="5879" max="5879" width="11.21875" style="1" customWidth="1"/>
    <col min="5880" max="6127" width="8.77734375" style="1"/>
    <col min="6128" max="6128" width="13.33203125" style="1" customWidth="1"/>
    <col min="6129" max="6129" width="9.5546875" style="1" customWidth="1"/>
    <col min="6130" max="6130" width="12.77734375" style="1" customWidth="1"/>
    <col min="6131" max="6131" width="10.5546875" style="1" customWidth="1"/>
    <col min="6132" max="6132" width="10.88671875" style="1" customWidth="1"/>
    <col min="6133" max="6133" width="11.21875" style="1" customWidth="1"/>
    <col min="6134" max="6134" width="8.77734375" style="1"/>
    <col min="6135" max="6135" width="11.21875" style="1" customWidth="1"/>
    <col min="6136" max="6383" width="8.77734375" style="1"/>
    <col min="6384" max="6384" width="13.33203125" style="1" customWidth="1"/>
    <col min="6385" max="6385" width="9.5546875" style="1" customWidth="1"/>
    <col min="6386" max="6386" width="12.77734375" style="1" customWidth="1"/>
    <col min="6387" max="6387" width="10.5546875" style="1" customWidth="1"/>
    <col min="6388" max="6388" width="10.88671875" style="1" customWidth="1"/>
    <col min="6389" max="6389" width="11.21875" style="1" customWidth="1"/>
    <col min="6390" max="6390" width="8.77734375" style="1"/>
    <col min="6391" max="6391" width="11.21875" style="1" customWidth="1"/>
    <col min="6392" max="6639" width="8.77734375" style="1"/>
    <col min="6640" max="6640" width="13.33203125" style="1" customWidth="1"/>
    <col min="6641" max="6641" width="9.5546875" style="1" customWidth="1"/>
    <col min="6642" max="6642" width="12.77734375" style="1" customWidth="1"/>
    <col min="6643" max="6643" width="10.5546875" style="1" customWidth="1"/>
    <col min="6644" max="6644" width="10.88671875" style="1" customWidth="1"/>
    <col min="6645" max="6645" width="11.21875" style="1" customWidth="1"/>
    <col min="6646" max="6646" width="8.77734375" style="1"/>
    <col min="6647" max="6647" width="11.21875" style="1" customWidth="1"/>
    <col min="6648" max="6895" width="8.77734375" style="1"/>
    <col min="6896" max="6896" width="13.33203125" style="1" customWidth="1"/>
    <col min="6897" max="6897" width="9.5546875" style="1" customWidth="1"/>
    <col min="6898" max="6898" width="12.77734375" style="1" customWidth="1"/>
    <col min="6899" max="6899" width="10.5546875" style="1" customWidth="1"/>
    <col min="6900" max="6900" width="10.88671875" style="1" customWidth="1"/>
    <col min="6901" max="6901" width="11.21875" style="1" customWidth="1"/>
    <col min="6902" max="6902" width="8.77734375" style="1"/>
    <col min="6903" max="6903" width="11.21875" style="1" customWidth="1"/>
    <col min="6904" max="7151" width="8.77734375" style="1"/>
    <col min="7152" max="7152" width="13.33203125" style="1" customWidth="1"/>
    <col min="7153" max="7153" width="9.5546875" style="1" customWidth="1"/>
    <col min="7154" max="7154" width="12.77734375" style="1" customWidth="1"/>
    <col min="7155" max="7155" width="10.5546875" style="1" customWidth="1"/>
    <col min="7156" max="7156" width="10.88671875" style="1" customWidth="1"/>
    <col min="7157" max="7157" width="11.21875" style="1" customWidth="1"/>
    <col min="7158" max="7158" width="8.77734375" style="1"/>
    <col min="7159" max="7159" width="11.21875" style="1" customWidth="1"/>
    <col min="7160" max="7407" width="8.77734375" style="1"/>
    <col min="7408" max="7408" width="13.33203125" style="1" customWidth="1"/>
    <col min="7409" max="7409" width="9.5546875" style="1" customWidth="1"/>
    <col min="7410" max="7410" width="12.77734375" style="1" customWidth="1"/>
    <col min="7411" max="7411" width="10.5546875" style="1" customWidth="1"/>
    <col min="7412" max="7412" width="10.88671875" style="1" customWidth="1"/>
    <col min="7413" max="7413" width="11.21875" style="1" customWidth="1"/>
    <col min="7414" max="7414" width="8.77734375" style="1"/>
    <col min="7415" max="7415" width="11.21875" style="1" customWidth="1"/>
    <col min="7416" max="7663" width="8.77734375" style="1"/>
    <col min="7664" max="7664" width="13.33203125" style="1" customWidth="1"/>
    <col min="7665" max="7665" width="9.5546875" style="1" customWidth="1"/>
    <col min="7666" max="7666" width="12.77734375" style="1" customWidth="1"/>
    <col min="7667" max="7667" width="10.5546875" style="1" customWidth="1"/>
    <col min="7668" max="7668" width="10.88671875" style="1" customWidth="1"/>
    <col min="7669" max="7669" width="11.21875" style="1" customWidth="1"/>
    <col min="7670" max="7670" width="8.77734375" style="1"/>
    <col min="7671" max="7671" width="11.21875" style="1" customWidth="1"/>
    <col min="7672" max="7919" width="8.77734375" style="1"/>
    <col min="7920" max="7920" width="13.33203125" style="1" customWidth="1"/>
    <col min="7921" max="7921" width="9.5546875" style="1" customWidth="1"/>
    <col min="7922" max="7922" width="12.77734375" style="1" customWidth="1"/>
    <col min="7923" max="7923" width="10.5546875" style="1" customWidth="1"/>
    <col min="7924" max="7924" width="10.88671875" style="1" customWidth="1"/>
    <col min="7925" max="7925" width="11.21875" style="1" customWidth="1"/>
    <col min="7926" max="7926" width="8.77734375" style="1"/>
    <col min="7927" max="7927" width="11.21875" style="1" customWidth="1"/>
    <col min="7928" max="8175" width="8.77734375" style="1"/>
    <col min="8176" max="8176" width="13.33203125" style="1" customWidth="1"/>
    <col min="8177" max="8177" width="9.5546875" style="1" customWidth="1"/>
    <col min="8178" max="8178" width="12.77734375" style="1" customWidth="1"/>
    <col min="8179" max="8179" width="10.5546875" style="1" customWidth="1"/>
    <col min="8180" max="8180" width="10.88671875" style="1" customWidth="1"/>
    <col min="8181" max="8181" width="11.21875" style="1" customWidth="1"/>
    <col min="8182" max="8182" width="8.77734375" style="1"/>
    <col min="8183" max="8183" width="11.21875" style="1" customWidth="1"/>
    <col min="8184" max="8431" width="8.77734375" style="1"/>
    <col min="8432" max="8432" width="13.33203125" style="1" customWidth="1"/>
    <col min="8433" max="8433" width="9.5546875" style="1" customWidth="1"/>
    <col min="8434" max="8434" width="12.77734375" style="1" customWidth="1"/>
    <col min="8435" max="8435" width="10.5546875" style="1" customWidth="1"/>
    <col min="8436" max="8436" width="10.88671875" style="1" customWidth="1"/>
    <col min="8437" max="8437" width="11.21875" style="1" customWidth="1"/>
    <col min="8438" max="8438" width="8.77734375" style="1"/>
    <col min="8439" max="8439" width="11.21875" style="1" customWidth="1"/>
    <col min="8440" max="8687" width="8.77734375" style="1"/>
    <col min="8688" max="8688" width="13.33203125" style="1" customWidth="1"/>
    <col min="8689" max="8689" width="9.5546875" style="1" customWidth="1"/>
    <col min="8690" max="8690" width="12.77734375" style="1" customWidth="1"/>
    <col min="8691" max="8691" width="10.5546875" style="1" customWidth="1"/>
    <col min="8692" max="8692" width="10.88671875" style="1" customWidth="1"/>
    <col min="8693" max="8693" width="11.21875" style="1" customWidth="1"/>
    <col min="8694" max="8694" width="8.77734375" style="1"/>
    <col min="8695" max="8695" width="11.21875" style="1" customWidth="1"/>
    <col min="8696" max="8943" width="8.77734375" style="1"/>
    <col min="8944" max="8944" width="13.33203125" style="1" customWidth="1"/>
    <col min="8945" max="8945" width="9.5546875" style="1" customWidth="1"/>
    <col min="8946" max="8946" width="12.77734375" style="1" customWidth="1"/>
    <col min="8947" max="8947" width="10.5546875" style="1" customWidth="1"/>
    <col min="8948" max="8948" width="10.88671875" style="1" customWidth="1"/>
    <col min="8949" max="8949" width="11.21875" style="1" customWidth="1"/>
    <col min="8950" max="8950" width="8.77734375" style="1"/>
    <col min="8951" max="8951" width="11.21875" style="1" customWidth="1"/>
    <col min="8952" max="9199" width="8.77734375" style="1"/>
    <col min="9200" max="9200" width="13.33203125" style="1" customWidth="1"/>
    <col min="9201" max="9201" width="9.5546875" style="1" customWidth="1"/>
    <col min="9202" max="9202" width="12.77734375" style="1" customWidth="1"/>
    <col min="9203" max="9203" width="10.5546875" style="1" customWidth="1"/>
    <col min="9204" max="9204" width="10.88671875" style="1" customWidth="1"/>
    <col min="9205" max="9205" width="11.21875" style="1" customWidth="1"/>
    <col min="9206" max="9206" width="8.77734375" style="1"/>
    <col min="9207" max="9207" width="11.21875" style="1" customWidth="1"/>
    <col min="9208" max="9455" width="8.77734375" style="1"/>
    <col min="9456" max="9456" width="13.33203125" style="1" customWidth="1"/>
    <col min="9457" max="9457" width="9.5546875" style="1" customWidth="1"/>
    <col min="9458" max="9458" width="12.77734375" style="1" customWidth="1"/>
    <col min="9459" max="9459" width="10.5546875" style="1" customWidth="1"/>
    <col min="9460" max="9460" width="10.88671875" style="1" customWidth="1"/>
    <col min="9461" max="9461" width="11.21875" style="1" customWidth="1"/>
    <col min="9462" max="9462" width="8.77734375" style="1"/>
    <col min="9463" max="9463" width="11.21875" style="1" customWidth="1"/>
    <col min="9464" max="9711" width="8.77734375" style="1"/>
    <col min="9712" max="9712" width="13.33203125" style="1" customWidth="1"/>
    <col min="9713" max="9713" width="9.5546875" style="1" customWidth="1"/>
    <col min="9714" max="9714" width="12.77734375" style="1" customWidth="1"/>
    <col min="9715" max="9715" width="10.5546875" style="1" customWidth="1"/>
    <col min="9716" max="9716" width="10.88671875" style="1" customWidth="1"/>
    <col min="9717" max="9717" width="11.21875" style="1" customWidth="1"/>
    <col min="9718" max="9718" width="8.77734375" style="1"/>
    <col min="9719" max="9719" width="11.21875" style="1" customWidth="1"/>
    <col min="9720" max="9967" width="8.77734375" style="1"/>
    <col min="9968" max="9968" width="13.33203125" style="1" customWidth="1"/>
    <col min="9969" max="9969" width="9.5546875" style="1" customWidth="1"/>
    <col min="9970" max="9970" width="12.77734375" style="1" customWidth="1"/>
    <col min="9971" max="9971" width="10.5546875" style="1" customWidth="1"/>
    <col min="9972" max="9972" width="10.88671875" style="1" customWidth="1"/>
    <col min="9973" max="9973" width="11.21875" style="1" customWidth="1"/>
    <col min="9974" max="9974" width="8.77734375" style="1"/>
    <col min="9975" max="9975" width="11.21875" style="1" customWidth="1"/>
    <col min="9976" max="10223" width="8.77734375" style="1"/>
    <col min="10224" max="10224" width="13.33203125" style="1" customWidth="1"/>
    <col min="10225" max="10225" width="9.5546875" style="1" customWidth="1"/>
    <col min="10226" max="10226" width="12.77734375" style="1" customWidth="1"/>
    <col min="10227" max="10227" width="10.5546875" style="1" customWidth="1"/>
    <col min="10228" max="10228" width="10.88671875" style="1" customWidth="1"/>
    <col min="10229" max="10229" width="11.21875" style="1" customWidth="1"/>
    <col min="10230" max="10230" width="8.77734375" style="1"/>
    <col min="10231" max="10231" width="11.21875" style="1" customWidth="1"/>
    <col min="10232" max="10479" width="8.77734375" style="1"/>
    <col min="10480" max="10480" width="13.33203125" style="1" customWidth="1"/>
    <col min="10481" max="10481" width="9.5546875" style="1" customWidth="1"/>
    <col min="10482" max="10482" width="12.77734375" style="1" customWidth="1"/>
    <col min="10483" max="10483" width="10.5546875" style="1" customWidth="1"/>
    <col min="10484" max="10484" width="10.88671875" style="1" customWidth="1"/>
    <col min="10485" max="10485" width="11.21875" style="1" customWidth="1"/>
    <col min="10486" max="10486" width="8.77734375" style="1"/>
    <col min="10487" max="10487" width="11.21875" style="1" customWidth="1"/>
    <col min="10488" max="10735" width="8.77734375" style="1"/>
    <col min="10736" max="10736" width="13.33203125" style="1" customWidth="1"/>
    <col min="10737" max="10737" width="9.5546875" style="1" customWidth="1"/>
    <col min="10738" max="10738" width="12.77734375" style="1" customWidth="1"/>
    <col min="10739" max="10739" width="10.5546875" style="1" customWidth="1"/>
    <col min="10740" max="10740" width="10.88671875" style="1" customWidth="1"/>
    <col min="10741" max="10741" width="11.21875" style="1" customWidth="1"/>
    <col min="10742" max="10742" width="8.77734375" style="1"/>
    <col min="10743" max="10743" width="11.21875" style="1" customWidth="1"/>
    <col min="10744" max="10991" width="8.77734375" style="1"/>
    <col min="10992" max="10992" width="13.33203125" style="1" customWidth="1"/>
    <col min="10993" max="10993" width="9.5546875" style="1" customWidth="1"/>
    <col min="10994" max="10994" width="12.77734375" style="1" customWidth="1"/>
    <col min="10995" max="10995" width="10.5546875" style="1" customWidth="1"/>
    <col min="10996" max="10996" width="10.88671875" style="1" customWidth="1"/>
    <col min="10997" max="10997" width="11.21875" style="1" customWidth="1"/>
    <col min="10998" max="10998" width="8.77734375" style="1"/>
    <col min="10999" max="10999" width="11.21875" style="1" customWidth="1"/>
    <col min="11000" max="11247" width="8.77734375" style="1"/>
    <col min="11248" max="11248" width="13.33203125" style="1" customWidth="1"/>
    <col min="11249" max="11249" width="9.5546875" style="1" customWidth="1"/>
    <col min="11250" max="11250" width="12.77734375" style="1" customWidth="1"/>
    <col min="11251" max="11251" width="10.5546875" style="1" customWidth="1"/>
    <col min="11252" max="11252" width="10.88671875" style="1" customWidth="1"/>
    <col min="11253" max="11253" width="11.21875" style="1" customWidth="1"/>
    <col min="11254" max="11254" width="8.77734375" style="1"/>
    <col min="11255" max="11255" width="11.21875" style="1" customWidth="1"/>
    <col min="11256" max="11503" width="8.77734375" style="1"/>
    <col min="11504" max="11504" width="13.33203125" style="1" customWidth="1"/>
    <col min="11505" max="11505" width="9.5546875" style="1" customWidth="1"/>
    <col min="11506" max="11506" width="12.77734375" style="1" customWidth="1"/>
    <col min="11507" max="11507" width="10.5546875" style="1" customWidth="1"/>
    <col min="11508" max="11508" width="10.88671875" style="1" customWidth="1"/>
    <col min="11509" max="11509" width="11.21875" style="1" customWidth="1"/>
    <col min="11510" max="11510" width="8.77734375" style="1"/>
    <col min="11511" max="11511" width="11.21875" style="1" customWidth="1"/>
    <col min="11512" max="11759" width="8.77734375" style="1"/>
    <col min="11760" max="11760" width="13.33203125" style="1" customWidth="1"/>
    <col min="11761" max="11761" width="9.5546875" style="1" customWidth="1"/>
    <col min="11762" max="11762" width="12.77734375" style="1" customWidth="1"/>
    <col min="11763" max="11763" width="10.5546875" style="1" customWidth="1"/>
    <col min="11764" max="11764" width="10.88671875" style="1" customWidth="1"/>
    <col min="11765" max="11765" width="11.21875" style="1" customWidth="1"/>
    <col min="11766" max="11766" width="8.77734375" style="1"/>
    <col min="11767" max="11767" width="11.21875" style="1" customWidth="1"/>
    <col min="11768" max="12015" width="8.77734375" style="1"/>
    <col min="12016" max="12016" width="13.33203125" style="1" customWidth="1"/>
    <col min="12017" max="12017" width="9.5546875" style="1" customWidth="1"/>
    <col min="12018" max="12018" width="12.77734375" style="1" customWidth="1"/>
    <col min="12019" max="12019" width="10.5546875" style="1" customWidth="1"/>
    <col min="12020" max="12020" width="10.88671875" style="1" customWidth="1"/>
    <col min="12021" max="12021" width="11.21875" style="1" customWidth="1"/>
    <col min="12022" max="12022" width="8.77734375" style="1"/>
    <col min="12023" max="12023" width="11.21875" style="1" customWidth="1"/>
    <col min="12024" max="12271" width="8.77734375" style="1"/>
    <col min="12272" max="12272" width="13.33203125" style="1" customWidth="1"/>
    <col min="12273" max="12273" width="9.5546875" style="1" customWidth="1"/>
    <col min="12274" max="12274" width="12.77734375" style="1" customWidth="1"/>
    <col min="12275" max="12275" width="10.5546875" style="1" customWidth="1"/>
    <col min="12276" max="12276" width="10.88671875" style="1" customWidth="1"/>
    <col min="12277" max="12277" width="11.21875" style="1" customWidth="1"/>
    <col min="12278" max="12278" width="8.77734375" style="1"/>
    <col min="12279" max="12279" width="11.21875" style="1" customWidth="1"/>
    <col min="12280" max="12527" width="8.77734375" style="1"/>
    <col min="12528" max="12528" width="13.33203125" style="1" customWidth="1"/>
    <col min="12529" max="12529" width="9.5546875" style="1" customWidth="1"/>
    <col min="12530" max="12530" width="12.77734375" style="1" customWidth="1"/>
    <col min="12531" max="12531" width="10.5546875" style="1" customWidth="1"/>
    <col min="12532" max="12532" width="10.88671875" style="1" customWidth="1"/>
    <col min="12533" max="12533" width="11.21875" style="1" customWidth="1"/>
    <col min="12534" max="12534" width="8.77734375" style="1"/>
    <col min="12535" max="12535" width="11.21875" style="1" customWidth="1"/>
    <col min="12536" max="12783" width="8.77734375" style="1"/>
    <col min="12784" max="12784" width="13.33203125" style="1" customWidth="1"/>
    <col min="12785" max="12785" width="9.5546875" style="1" customWidth="1"/>
    <col min="12786" max="12786" width="12.77734375" style="1" customWidth="1"/>
    <col min="12787" max="12787" width="10.5546875" style="1" customWidth="1"/>
    <col min="12788" max="12788" width="10.88671875" style="1" customWidth="1"/>
    <col min="12789" max="12789" width="11.21875" style="1" customWidth="1"/>
    <col min="12790" max="12790" width="8.77734375" style="1"/>
    <col min="12791" max="12791" width="11.21875" style="1" customWidth="1"/>
    <col min="12792" max="13039" width="8.77734375" style="1"/>
    <col min="13040" max="13040" width="13.33203125" style="1" customWidth="1"/>
    <col min="13041" max="13041" width="9.5546875" style="1" customWidth="1"/>
    <col min="13042" max="13042" width="12.77734375" style="1" customWidth="1"/>
    <col min="13043" max="13043" width="10.5546875" style="1" customWidth="1"/>
    <col min="13044" max="13044" width="10.88671875" style="1" customWidth="1"/>
    <col min="13045" max="13045" width="11.21875" style="1" customWidth="1"/>
    <col min="13046" max="13046" width="8.77734375" style="1"/>
    <col min="13047" max="13047" width="11.21875" style="1" customWidth="1"/>
    <col min="13048" max="13295" width="8.77734375" style="1"/>
    <col min="13296" max="13296" width="13.33203125" style="1" customWidth="1"/>
    <col min="13297" max="13297" width="9.5546875" style="1" customWidth="1"/>
    <col min="13298" max="13298" width="12.77734375" style="1" customWidth="1"/>
    <col min="13299" max="13299" width="10.5546875" style="1" customWidth="1"/>
    <col min="13300" max="13300" width="10.88671875" style="1" customWidth="1"/>
    <col min="13301" max="13301" width="11.21875" style="1" customWidth="1"/>
    <col min="13302" max="13302" width="8.77734375" style="1"/>
    <col min="13303" max="13303" width="11.21875" style="1" customWidth="1"/>
    <col min="13304" max="13551" width="8.77734375" style="1"/>
    <col min="13552" max="13552" width="13.33203125" style="1" customWidth="1"/>
    <col min="13553" max="13553" width="9.5546875" style="1" customWidth="1"/>
    <col min="13554" max="13554" width="12.77734375" style="1" customWidth="1"/>
    <col min="13555" max="13555" width="10.5546875" style="1" customWidth="1"/>
    <col min="13556" max="13556" width="10.88671875" style="1" customWidth="1"/>
    <col min="13557" max="13557" width="11.21875" style="1" customWidth="1"/>
    <col min="13558" max="13558" width="8.77734375" style="1"/>
    <col min="13559" max="13559" width="11.21875" style="1" customWidth="1"/>
    <col min="13560" max="13807" width="8.77734375" style="1"/>
    <col min="13808" max="13808" width="13.33203125" style="1" customWidth="1"/>
    <col min="13809" max="13809" width="9.5546875" style="1" customWidth="1"/>
    <col min="13810" max="13810" width="12.77734375" style="1" customWidth="1"/>
    <col min="13811" max="13811" width="10.5546875" style="1" customWidth="1"/>
    <col min="13812" max="13812" width="10.88671875" style="1" customWidth="1"/>
    <col min="13813" max="13813" width="11.21875" style="1" customWidth="1"/>
    <col min="13814" max="13814" width="8.77734375" style="1"/>
    <col min="13815" max="13815" width="11.21875" style="1" customWidth="1"/>
    <col min="13816" max="14063" width="8.77734375" style="1"/>
    <col min="14064" max="14064" width="13.33203125" style="1" customWidth="1"/>
    <col min="14065" max="14065" width="9.5546875" style="1" customWidth="1"/>
    <col min="14066" max="14066" width="12.77734375" style="1" customWidth="1"/>
    <col min="14067" max="14067" width="10.5546875" style="1" customWidth="1"/>
    <col min="14068" max="14068" width="10.88671875" style="1" customWidth="1"/>
    <col min="14069" max="14069" width="11.21875" style="1" customWidth="1"/>
    <col min="14070" max="14070" width="8.77734375" style="1"/>
    <col min="14071" max="14071" width="11.21875" style="1" customWidth="1"/>
    <col min="14072" max="14319" width="8.77734375" style="1"/>
    <col min="14320" max="14320" width="13.33203125" style="1" customWidth="1"/>
    <col min="14321" max="14321" width="9.5546875" style="1" customWidth="1"/>
    <col min="14322" max="14322" width="12.77734375" style="1" customWidth="1"/>
    <col min="14323" max="14323" width="10.5546875" style="1" customWidth="1"/>
    <col min="14324" max="14324" width="10.88671875" style="1" customWidth="1"/>
    <col min="14325" max="14325" width="11.21875" style="1" customWidth="1"/>
    <col min="14326" max="14326" width="8.77734375" style="1"/>
    <col min="14327" max="14327" width="11.21875" style="1" customWidth="1"/>
    <col min="14328" max="14575" width="8.77734375" style="1"/>
    <col min="14576" max="14576" width="13.33203125" style="1" customWidth="1"/>
    <col min="14577" max="14577" width="9.5546875" style="1" customWidth="1"/>
    <col min="14578" max="14578" width="12.77734375" style="1" customWidth="1"/>
    <col min="14579" max="14579" width="10.5546875" style="1" customWidth="1"/>
    <col min="14580" max="14580" width="10.88671875" style="1" customWidth="1"/>
    <col min="14581" max="14581" width="11.21875" style="1" customWidth="1"/>
    <col min="14582" max="14582" width="8.77734375" style="1"/>
    <col min="14583" max="14583" width="11.21875" style="1" customWidth="1"/>
    <col min="14584" max="14831" width="8.77734375" style="1"/>
    <col min="14832" max="14832" width="13.33203125" style="1" customWidth="1"/>
    <col min="14833" max="14833" width="9.5546875" style="1" customWidth="1"/>
    <col min="14834" max="14834" width="12.77734375" style="1" customWidth="1"/>
    <col min="14835" max="14835" width="10.5546875" style="1" customWidth="1"/>
    <col min="14836" max="14836" width="10.88671875" style="1" customWidth="1"/>
    <col min="14837" max="14837" width="11.21875" style="1" customWidth="1"/>
    <col min="14838" max="14838" width="8.77734375" style="1"/>
    <col min="14839" max="14839" width="11.21875" style="1" customWidth="1"/>
    <col min="14840" max="15087" width="8.77734375" style="1"/>
    <col min="15088" max="15088" width="13.33203125" style="1" customWidth="1"/>
    <col min="15089" max="15089" width="9.5546875" style="1" customWidth="1"/>
    <col min="15090" max="15090" width="12.77734375" style="1" customWidth="1"/>
    <col min="15091" max="15091" width="10.5546875" style="1" customWidth="1"/>
    <col min="15092" max="15092" width="10.88671875" style="1" customWidth="1"/>
    <col min="15093" max="15093" width="11.21875" style="1" customWidth="1"/>
    <col min="15094" max="15094" width="8.77734375" style="1"/>
    <col min="15095" max="15095" width="11.21875" style="1" customWidth="1"/>
    <col min="15096" max="15343" width="8.77734375" style="1"/>
    <col min="15344" max="15344" width="13.33203125" style="1" customWidth="1"/>
    <col min="15345" max="15345" width="9.5546875" style="1" customWidth="1"/>
    <col min="15346" max="15346" width="12.77734375" style="1" customWidth="1"/>
    <col min="15347" max="15347" width="10.5546875" style="1" customWidth="1"/>
    <col min="15348" max="15348" width="10.88671875" style="1" customWidth="1"/>
    <col min="15349" max="15349" width="11.21875" style="1" customWidth="1"/>
    <col min="15350" max="15350" width="8.77734375" style="1"/>
    <col min="15351" max="15351" width="11.21875" style="1" customWidth="1"/>
    <col min="15352" max="15599" width="8.77734375" style="1"/>
    <col min="15600" max="15600" width="13.33203125" style="1" customWidth="1"/>
    <col min="15601" max="15601" width="9.5546875" style="1" customWidth="1"/>
    <col min="15602" max="15602" width="12.77734375" style="1" customWidth="1"/>
    <col min="15603" max="15603" width="10.5546875" style="1" customWidth="1"/>
    <col min="15604" max="15604" width="10.88671875" style="1" customWidth="1"/>
    <col min="15605" max="15605" width="11.21875" style="1" customWidth="1"/>
    <col min="15606" max="15606" width="8.77734375" style="1"/>
    <col min="15607" max="15607" width="11.21875" style="1" customWidth="1"/>
    <col min="15608" max="15855" width="8.77734375" style="1"/>
    <col min="15856" max="15856" width="13.33203125" style="1" customWidth="1"/>
    <col min="15857" max="15857" width="9.5546875" style="1" customWidth="1"/>
    <col min="15858" max="15858" width="12.77734375" style="1" customWidth="1"/>
    <col min="15859" max="15859" width="10.5546875" style="1" customWidth="1"/>
    <col min="15860" max="15860" width="10.88671875" style="1" customWidth="1"/>
    <col min="15861" max="15861" width="11.21875" style="1" customWidth="1"/>
    <col min="15862" max="15862" width="8.77734375" style="1"/>
    <col min="15863" max="15863" width="11.21875" style="1" customWidth="1"/>
    <col min="15864" max="16111" width="8.77734375" style="1"/>
    <col min="16112" max="16112" width="13.33203125" style="1" customWidth="1"/>
    <col min="16113" max="16113" width="9.5546875" style="1" customWidth="1"/>
    <col min="16114" max="16114" width="12.77734375" style="1" customWidth="1"/>
    <col min="16115" max="16115" width="10.5546875" style="1" customWidth="1"/>
    <col min="16116" max="16116" width="10.88671875" style="1" customWidth="1"/>
    <col min="16117" max="16117" width="11.21875" style="1" customWidth="1"/>
    <col min="16118" max="16118" width="8.77734375" style="1"/>
    <col min="16119" max="16119" width="11.21875" style="1" customWidth="1"/>
    <col min="16120" max="16377" width="8.77734375" style="1"/>
    <col min="16378" max="16384" width="8.77734375" style="1" customWidth="1"/>
  </cols>
  <sheetData>
    <row r="1" spans="1:16" ht="28.15" customHeight="1" x14ac:dyDescent="0.35">
      <c r="A1" s="113" t="s">
        <v>21</v>
      </c>
      <c r="B1" s="113"/>
      <c r="C1" s="113"/>
      <c r="D1" s="113"/>
      <c r="E1" s="113"/>
      <c r="F1" s="113"/>
      <c r="G1" s="11"/>
      <c r="H1" s="11"/>
      <c r="I1" s="11"/>
      <c r="N1" s="49">
        <f>O1*C6</f>
        <v>70.211999999999989</v>
      </c>
      <c r="O1" s="50">
        <v>58.51</v>
      </c>
      <c r="P1" s="49">
        <f>O1*$E$6</f>
        <v>50.903700000000001</v>
      </c>
    </row>
    <row r="2" spans="1:16" ht="41.45" customHeight="1" x14ac:dyDescent="0.35">
      <c r="A2" s="104" t="s">
        <v>22</v>
      </c>
      <c r="B2" s="104"/>
      <c r="C2" s="104"/>
      <c r="D2" s="104"/>
      <c r="E2" s="104"/>
      <c r="F2" s="104"/>
      <c r="G2" s="12"/>
      <c r="H2" s="12"/>
      <c r="I2" s="12"/>
      <c r="N2" s="50">
        <v>217.39</v>
      </c>
      <c r="O2" s="49">
        <f>N2/C6</f>
        <v>181.15833333333333</v>
      </c>
      <c r="P2" s="49">
        <f>O2*E6</f>
        <v>157.60775000000001</v>
      </c>
    </row>
    <row r="3" spans="1:16" s="2" customFormat="1" ht="23.25" x14ac:dyDescent="0.35">
      <c r="A3" s="102" t="s">
        <v>27</v>
      </c>
      <c r="B3" s="102"/>
      <c r="C3" s="102"/>
      <c r="D3" s="102"/>
      <c r="E3" s="102"/>
      <c r="F3" s="102"/>
      <c r="G3" s="13"/>
      <c r="H3" s="13"/>
      <c r="I3" s="13"/>
      <c r="N3" s="49">
        <f>O3*C6</f>
        <v>212.71724137931034</v>
      </c>
      <c r="O3" s="49">
        <f>P3/E6</f>
        <v>177.26436781609195</v>
      </c>
      <c r="P3" s="50">
        <v>154.22</v>
      </c>
    </row>
    <row r="4" spans="1:16" ht="18.75" hidden="1" outlineLevel="1" x14ac:dyDescent="0.3">
      <c r="C4" s="17" t="s">
        <v>0</v>
      </c>
      <c r="D4" s="17"/>
      <c r="E4" s="17"/>
      <c r="F4" s="17"/>
    </row>
    <row r="5" spans="1:16" ht="18.75" hidden="1" outlineLevel="1" x14ac:dyDescent="0.25">
      <c r="C5" s="18" t="s">
        <v>1</v>
      </c>
      <c r="D5" s="18" t="s">
        <v>2</v>
      </c>
      <c r="E5" s="18" t="s">
        <v>3</v>
      </c>
      <c r="F5" s="18" t="s">
        <v>4</v>
      </c>
    </row>
    <row r="6" spans="1:16" ht="19.5" hidden="1" outlineLevel="1" x14ac:dyDescent="0.35">
      <c r="B6" s="19"/>
      <c r="C6" s="20">
        <v>1.2</v>
      </c>
      <c r="D6" s="20">
        <v>1</v>
      </c>
      <c r="E6" s="20">
        <v>0.87</v>
      </c>
      <c r="F6" s="20">
        <v>0.56999999999999995</v>
      </c>
    </row>
    <row r="7" spans="1:16" ht="19.5" hidden="1" outlineLevel="1" x14ac:dyDescent="0.35">
      <c r="B7" s="19"/>
      <c r="C7" s="35"/>
      <c r="D7" s="35"/>
      <c r="E7" s="35"/>
      <c r="F7" s="35"/>
    </row>
    <row r="8" spans="1:16" ht="19.5" hidden="1" outlineLevel="1" x14ac:dyDescent="0.35">
      <c r="B8" s="19"/>
      <c r="C8" s="35"/>
      <c r="D8" s="35"/>
      <c r="E8" s="35"/>
      <c r="F8" s="35"/>
    </row>
    <row r="9" spans="1:16" ht="19.5" outlineLevel="1" x14ac:dyDescent="0.35">
      <c r="B9" s="100" t="s">
        <v>59</v>
      </c>
      <c r="C9" s="100"/>
      <c r="D9" s="100"/>
      <c r="E9" s="35"/>
      <c r="F9" s="35"/>
    </row>
    <row r="10" spans="1:16" ht="21" customHeight="1" x14ac:dyDescent="0.3">
      <c r="B10" s="21"/>
      <c r="C10" s="21"/>
      <c r="D10" s="21"/>
      <c r="E10" s="21"/>
      <c r="F10" s="22" t="s">
        <v>5</v>
      </c>
    </row>
    <row r="11" spans="1:16" s="60" customFormat="1" ht="81" x14ac:dyDescent="0.3">
      <c r="A11" s="107" t="s">
        <v>6</v>
      </c>
      <c r="B11" s="56" t="s">
        <v>7</v>
      </c>
      <c r="C11" s="29" t="s">
        <v>1</v>
      </c>
      <c r="D11" s="29" t="s">
        <v>2</v>
      </c>
      <c r="E11" s="29" t="s">
        <v>3</v>
      </c>
      <c r="F11" s="29" t="s">
        <v>4</v>
      </c>
      <c r="G11" s="58" t="s">
        <v>8</v>
      </c>
      <c r="H11" s="59"/>
    </row>
    <row r="12" spans="1:16" s="16" customFormat="1" ht="18.75" hidden="1" customHeight="1" x14ac:dyDescent="0.3">
      <c r="A12" s="108"/>
      <c r="B12" s="30" t="s">
        <v>9</v>
      </c>
      <c r="C12" s="31" t="s">
        <v>10</v>
      </c>
      <c r="D12" s="31" t="s">
        <v>10</v>
      </c>
      <c r="E12" s="31" t="s">
        <v>10</v>
      </c>
      <c r="F12" s="36" t="s">
        <v>11</v>
      </c>
      <c r="G12" s="61"/>
      <c r="H12" s="61"/>
    </row>
    <row r="13" spans="1:16" s="16" customFormat="1" ht="22.9" customHeight="1" x14ac:dyDescent="0.3">
      <c r="A13" s="98" t="s">
        <v>12</v>
      </c>
      <c r="B13" s="45" t="s">
        <v>13</v>
      </c>
      <c r="C13" s="46">
        <f>D13*$C$6</f>
        <v>90</v>
      </c>
      <c r="D13" s="46">
        <f>D14*75%</f>
        <v>75</v>
      </c>
      <c r="E13" s="46">
        <f>D13*$E$6</f>
        <v>65.25</v>
      </c>
      <c r="F13" s="45" t="s">
        <v>14</v>
      </c>
      <c r="G13" s="62"/>
      <c r="H13" s="63"/>
      <c r="J13" s="64">
        <v>0.75</v>
      </c>
    </row>
    <row r="14" spans="1:16" s="16" customFormat="1" ht="22.9" customHeight="1" x14ac:dyDescent="0.3">
      <c r="A14" s="99"/>
      <c r="B14" s="45" t="s">
        <v>15</v>
      </c>
      <c r="C14" s="46">
        <f>D14*$C$6</f>
        <v>120</v>
      </c>
      <c r="D14" s="90">
        <f>промсклад!D14+10</f>
        <v>100</v>
      </c>
      <c r="E14" s="46">
        <f>D14*$E$6</f>
        <v>87</v>
      </c>
      <c r="F14" s="46">
        <f>промсклад!F14+10</f>
        <v>70</v>
      </c>
      <c r="G14" s="62"/>
      <c r="H14" s="63"/>
    </row>
    <row r="15" spans="1:16" s="16" customFormat="1" ht="22.9" customHeight="1" x14ac:dyDescent="0.3">
      <c r="A15" s="99"/>
      <c r="B15" s="45" t="s">
        <v>16</v>
      </c>
      <c r="C15" s="46">
        <f>D15*$C$6</f>
        <v>168</v>
      </c>
      <c r="D15" s="46">
        <f>D14*1.4</f>
        <v>140</v>
      </c>
      <c r="E15" s="46">
        <f>D15*$E$6</f>
        <v>121.8</v>
      </c>
      <c r="F15" s="46">
        <f>промсклад!F15+10</f>
        <v>92</v>
      </c>
      <c r="G15" s="62"/>
      <c r="H15" s="63"/>
      <c r="J15" s="64">
        <v>1.4</v>
      </c>
      <c r="M15" s="65">
        <f>D15/D14</f>
        <v>1.4</v>
      </c>
    </row>
    <row r="16" spans="1:16" s="16" customFormat="1" ht="22.9" customHeight="1" x14ac:dyDescent="0.3">
      <c r="A16" s="111"/>
      <c r="B16" s="112"/>
      <c r="C16" s="112"/>
      <c r="D16" s="112"/>
      <c r="E16" s="112"/>
      <c r="F16" s="112"/>
      <c r="G16" s="66"/>
      <c r="H16" s="66"/>
      <c r="M16" s="65"/>
    </row>
    <row r="17" spans="1:13" s="16" customFormat="1" ht="22.9" customHeight="1" x14ac:dyDescent="0.3">
      <c r="A17" s="98" t="s">
        <v>17</v>
      </c>
      <c r="B17" s="47" t="s">
        <v>13</v>
      </c>
      <c r="C17" s="46">
        <f>D17*$C$6</f>
        <v>87.3</v>
      </c>
      <c r="D17" s="46">
        <f>D18*75%</f>
        <v>72.75</v>
      </c>
      <c r="E17" s="46">
        <f>D17*$E$6</f>
        <v>63.292499999999997</v>
      </c>
      <c r="F17" s="45" t="s">
        <v>14</v>
      </c>
      <c r="G17" s="62"/>
      <c r="H17" s="66"/>
      <c r="J17" s="16">
        <f>D17/D18</f>
        <v>0.75</v>
      </c>
      <c r="M17" s="65"/>
    </row>
    <row r="18" spans="1:13" s="16" customFormat="1" ht="22.9" customHeight="1" x14ac:dyDescent="0.3">
      <c r="A18" s="99"/>
      <c r="B18" s="47" t="s">
        <v>15</v>
      </c>
      <c r="C18" s="46">
        <f>D18*$C$6</f>
        <v>116.39999999999999</v>
      </c>
      <c r="D18" s="89">
        <f>промсклад!D18+10</f>
        <v>97</v>
      </c>
      <c r="E18" s="46">
        <f>D18*$E$6</f>
        <v>84.39</v>
      </c>
      <c r="F18" s="46">
        <f>промсклад!F18+10</f>
        <v>65</v>
      </c>
      <c r="G18" s="62"/>
      <c r="H18" s="66"/>
      <c r="M18" s="65"/>
    </row>
    <row r="19" spans="1:13" s="16" customFormat="1" ht="22.9" customHeight="1" x14ac:dyDescent="0.3">
      <c r="A19" s="99"/>
      <c r="B19" s="47" t="s">
        <v>16</v>
      </c>
      <c r="C19" s="46">
        <f>D19*$C$6</f>
        <v>162.95999999999998</v>
      </c>
      <c r="D19" s="46">
        <f>D18*1.4</f>
        <v>135.79999999999998</v>
      </c>
      <c r="E19" s="46">
        <f>D19*$E$6</f>
        <v>118.14599999999999</v>
      </c>
      <c r="F19" s="46">
        <f>промсклад!F19+10</f>
        <v>85</v>
      </c>
      <c r="G19" s="62"/>
      <c r="H19" s="66"/>
      <c r="J19" s="16">
        <f>D19/D18</f>
        <v>1.4</v>
      </c>
      <c r="M19" s="65">
        <f>D19/D18</f>
        <v>1.4</v>
      </c>
    </row>
    <row r="20" spans="1:13" s="16" customFormat="1" ht="22.9" customHeight="1" x14ac:dyDescent="0.3">
      <c r="A20" s="111"/>
      <c r="B20" s="112"/>
      <c r="C20" s="112"/>
      <c r="D20" s="112"/>
      <c r="E20" s="112"/>
      <c r="F20" s="112"/>
      <c r="M20" s="65"/>
    </row>
    <row r="21" spans="1:13" s="16" customFormat="1" ht="22.9" customHeight="1" x14ac:dyDescent="0.3">
      <c r="A21" s="114" t="s">
        <v>18</v>
      </c>
      <c r="B21" s="33" t="s">
        <v>13</v>
      </c>
      <c r="C21" s="32" t="s">
        <v>14</v>
      </c>
      <c r="D21" s="32" t="s">
        <v>14</v>
      </c>
      <c r="E21" s="32" t="s">
        <v>14</v>
      </c>
      <c r="F21" s="32" t="s">
        <v>14</v>
      </c>
      <c r="G21" s="62"/>
      <c r="H21" s="66"/>
      <c r="M21" s="65"/>
    </row>
    <row r="22" spans="1:13" s="16" customFormat="1" ht="22.9" customHeight="1" x14ac:dyDescent="0.3">
      <c r="A22" s="115"/>
      <c r="B22" s="33" t="s">
        <v>15</v>
      </c>
      <c r="C22" s="46">
        <f>D22*$C$6</f>
        <v>144</v>
      </c>
      <c r="D22" s="46">
        <f>D23/140%</f>
        <v>120.00000000000001</v>
      </c>
      <c r="E22" s="46">
        <f>D22*$E$6</f>
        <v>104.4</v>
      </c>
      <c r="F22" s="32" t="s">
        <v>14</v>
      </c>
      <c r="G22" s="62"/>
      <c r="H22" s="66"/>
    </row>
    <row r="23" spans="1:13" s="16" customFormat="1" ht="22.9" customHeight="1" x14ac:dyDescent="0.3">
      <c r="A23" s="115"/>
      <c r="B23" s="33" t="s">
        <v>16</v>
      </c>
      <c r="C23" s="46">
        <f>D23*$C$6</f>
        <v>201.6</v>
      </c>
      <c r="D23" s="89">
        <v>168</v>
      </c>
      <c r="E23" s="46">
        <f>D23*$E$6</f>
        <v>146.16</v>
      </c>
      <c r="F23" s="32" t="s">
        <v>14</v>
      </c>
      <c r="G23" s="62"/>
      <c r="H23" s="66"/>
    </row>
    <row r="24" spans="1:13" s="16" customFormat="1" ht="22.9" customHeight="1" x14ac:dyDescent="0.3">
      <c r="A24" s="109"/>
      <c r="B24" s="110"/>
      <c r="C24" s="110"/>
      <c r="D24" s="110"/>
      <c r="E24" s="110"/>
      <c r="F24" s="110"/>
      <c r="G24" s="66"/>
      <c r="H24" s="66"/>
    </row>
    <row r="25" spans="1:13" s="16" customFormat="1" ht="22.9" customHeight="1" x14ac:dyDescent="0.3">
      <c r="A25" s="114" t="s">
        <v>19</v>
      </c>
      <c r="B25" s="33" t="s">
        <v>13</v>
      </c>
      <c r="C25" s="32" t="s">
        <v>14</v>
      </c>
      <c r="D25" s="32" t="s">
        <v>14</v>
      </c>
      <c r="E25" s="32" t="s">
        <v>14</v>
      </c>
      <c r="F25" s="32" t="s">
        <v>14</v>
      </c>
      <c r="G25" s="62"/>
      <c r="H25" s="66"/>
    </row>
    <row r="26" spans="1:13" s="16" customFormat="1" ht="22.9" customHeight="1" x14ac:dyDescent="0.3">
      <c r="A26" s="115"/>
      <c r="B26" s="33" t="s">
        <v>15</v>
      </c>
      <c r="C26" s="46">
        <f>D26*$C$6</f>
        <v>76.285714285714292</v>
      </c>
      <c r="D26" s="46">
        <f>промсклад!D26+10</f>
        <v>63.571428571428577</v>
      </c>
      <c r="E26" s="46">
        <f>D26*$E$6</f>
        <v>55.307142857142864</v>
      </c>
      <c r="F26" s="45" t="s">
        <v>14</v>
      </c>
      <c r="G26" s="62"/>
      <c r="H26" s="66"/>
    </row>
    <row r="27" spans="1:13" s="16" customFormat="1" ht="22.9" customHeight="1" x14ac:dyDescent="0.3">
      <c r="A27" s="115"/>
      <c r="B27" s="33" t="s">
        <v>16</v>
      </c>
      <c r="C27" s="46">
        <f>D27*$C$6</f>
        <v>106.8</v>
      </c>
      <c r="D27" s="46">
        <f>D26*140%</f>
        <v>89</v>
      </c>
      <c r="E27" s="46">
        <f>D27*$E$6+0.01</f>
        <v>77.44</v>
      </c>
      <c r="F27" s="45" t="s">
        <v>14</v>
      </c>
      <c r="G27" s="62"/>
      <c r="H27" s="66"/>
    </row>
    <row r="28" spans="1:13" s="16" customFormat="1" ht="22.9" customHeight="1" x14ac:dyDescent="0.3">
      <c r="A28" s="109"/>
      <c r="B28" s="110"/>
      <c r="C28" s="110"/>
      <c r="D28" s="110"/>
      <c r="E28" s="110"/>
      <c r="F28" s="110"/>
      <c r="G28" s="66"/>
      <c r="H28" s="66"/>
    </row>
    <row r="29" spans="1:13" s="16" customFormat="1" ht="22.9" customHeight="1" x14ac:dyDescent="0.3">
      <c r="A29" s="101" t="s">
        <v>20</v>
      </c>
      <c r="B29" s="33" t="s">
        <v>13</v>
      </c>
      <c r="C29" s="32" t="s">
        <v>14</v>
      </c>
      <c r="D29" s="32" t="s">
        <v>14</v>
      </c>
      <c r="E29" s="32" t="s">
        <v>14</v>
      </c>
      <c r="F29" s="32" t="s">
        <v>14</v>
      </c>
    </row>
    <row r="30" spans="1:13" s="16" customFormat="1" ht="22.9" customHeight="1" x14ac:dyDescent="0.3">
      <c r="A30" s="101"/>
      <c r="B30" s="33" t="s">
        <v>15</v>
      </c>
      <c r="C30" s="46">
        <f>D30*$C$6</f>
        <v>156</v>
      </c>
      <c r="D30" s="46">
        <f>D31/140%</f>
        <v>130</v>
      </c>
      <c r="E30" s="46">
        <f>D30*$E$6</f>
        <v>113.1</v>
      </c>
      <c r="F30" s="32" t="s">
        <v>14</v>
      </c>
    </row>
    <row r="31" spans="1:13" s="16" customFormat="1" ht="22.9" customHeight="1" x14ac:dyDescent="0.3">
      <c r="A31" s="101"/>
      <c r="B31" s="33" t="s">
        <v>16</v>
      </c>
      <c r="C31" s="46">
        <f>D31*$C$6</f>
        <v>218.4</v>
      </c>
      <c r="D31" s="89">
        <v>182</v>
      </c>
      <c r="E31" s="46">
        <f>D31*$E$6</f>
        <v>158.34</v>
      </c>
      <c r="F31" s="32" t="s">
        <v>14</v>
      </c>
    </row>
    <row r="32" spans="1:13" s="16" customFormat="1" ht="20.25" x14ac:dyDescent="0.3"/>
    <row r="33" spans="1:6" s="16" customFormat="1" ht="20.25" x14ac:dyDescent="0.3"/>
    <row r="34" spans="1:6" s="16" customFormat="1" ht="20.25" x14ac:dyDescent="0.3">
      <c r="A34" s="57" t="s">
        <v>25</v>
      </c>
      <c r="B34" s="57"/>
      <c r="C34" s="57"/>
      <c r="D34" s="57" t="s">
        <v>26</v>
      </c>
      <c r="E34" s="57"/>
    </row>
    <row r="37" spans="1:6" hidden="1" x14ac:dyDescent="0.25">
      <c r="A37" s="2" t="s">
        <v>32</v>
      </c>
    </row>
    <row r="38" spans="1:6" ht="20.25" hidden="1" customHeight="1" x14ac:dyDescent="0.2">
      <c r="A38" s="101" t="s">
        <v>31</v>
      </c>
      <c r="B38" s="33" t="s">
        <v>13</v>
      </c>
      <c r="C38" s="32" t="s">
        <v>14</v>
      </c>
      <c r="D38" s="32" t="s">
        <v>14</v>
      </c>
      <c r="E38" s="32" t="s">
        <v>14</v>
      </c>
      <c r="F38" s="32" t="s">
        <v>14</v>
      </c>
    </row>
    <row r="39" spans="1:6" ht="20.25" hidden="1" customHeight="1" x14ac:dyDescent="0.2">
      <c r="A39" s="101"/>
      <c r="B39" s="33" t="s">
        <v>15</v>
      </c>
      <c r="C39" s="48">
        <f>D39*$C$6</f>
        <v>332.48421052631585</v>
      </c>
      <c r="D39" s="44">
        <f>F39/F6</f>
        <v>277.07017543859655</v>
      </c>
      <c r="E39" s="48">
        <f>D39*$E$6</f>
        <v>241.05105263157898</v>
      </c>
      <c r="F39" s="32">
        <v>157.93</v>
      </c>
    </row>
    <row r="40" spans="1:6" ht="20.25" hidden="1" customHeight="1" x14ac:dyDescent="0.2">
      <c r="A40" s="101"/>
      <c r="B40" s="33" t="s">
        <v>16</v>
      </c>
      <c r="C40" s="48">
        <f>D40*$C$6</f>
        <v>432.22947368421063</v>
      </c>
      <c r="D40" s="46">
        <f>D39*1.3</f>
        <v>360.19122807017555</v>
      </c>
      <c r="E40" s="48">
        <f>D40*$E$6</f>
        <v>313.36636842105275</v>
      </c>
      <c r="F40" s="52">
        <f>D40*F6</f>
        <v>205.30900000000005</v>
      </c>
    </row>
    <row r="41" spans="1:6" hidden="1" x14ac:dyDescent="0.25"/>
    <row r="42" spans="1:6" hidden="1" x14ac:dyDescent="0.25">
      <c r="A42" s="2" t="s">
        <v>33</v>
      </c>
    </row>
    <row r="43" spans="1:6" ht="20.25" hidden="1" customHeight="1" x14ac:dyDescent="0.2">
      <c r="A43" s="101" t="s">
        <v>31</v>
      </c>
      <c r="B43" s="33" t="s">
        <v>13</v>
      </c>
      <c r="C43" s="32" t="s">
        <v>14</v>
      </c>
      <c r="D43" s="32" t="s">
        <v>14</v>
      </c>
      <c r="E43" s="32" t="s">
        <v>14</v>
      </c>
      <c r="F43" s="32" t="s">
        <v>14</v>
      </c>
    </row>
    <row r="44" spans="1:6" ht="20.25" hidden="1" customHeight="1" x14ac:dyDescent="0.2">
      <c r="A44" s="101"/>
      <c r="B44" s="33" t="s">
        <v>15</v>
      </c>
      <c r="C44" s="48">
        <f>D44*$C$6</f>
        <v>387.43157894736845</v>
      </c>
      <c r="D44" s="44">
        <f>F44/F6</f>
        <v>322.85964912280707</v>
      </c>
      <c r="E44" s="48">
        <f>D44*$E$6</f>
        <v>280.88789473684216</v>
      </c>
      <c r="F44" s="32">
        <v>184.03</v>
      </c>
    </row>
    <row r="45" spans="1:6" ht="20.25" hidden="1" customHeight="1" x14ac:dyDescent="0.2">
      <c r="A45" s="101"/>
      <c r="B45" s="33" t="s">
        <v>16</v>
      </c>
      <c r="C45" s="48">
        <f>D45*$C$6</f>
        <v>503.66105263157903</v>
      </c>
      <c r="D45" s="46">
        <f>D44*1.3</f>
        <v>419.7175438596492</v>
      </c>
      <c r="E45" s="48">
        <f>D45*$E$6</f>
        <v>365.15426315789477</v>
      </c>
      <c r="F45" s="52">
        <f>D45*F6</f>
        <v>239.23900000000003</v>
      </c>
    </row>
    <row r="46" spans="1:6" hidden="1" x14ac:dyDescent="0.25">
      <c r="F46" s="1" t="s">
        <v>34</v>
      </c>
    </row>
    <row r="47" spans="1:6" hidden="1" x14ac:dyDescent="0.25"/>
    <row r="48" spans="1:6" hidden="1" x14ac:dyDescent="0.25"/>
    <row r="49" spans="1:19" hidden="1" x14ac:dyDescent="0.25"/>
    <row r="50" spans="1:19" hidden="1" x14ac:dyDescent="0.25">
      <c r="A50" s="2" t="s">
        <v>39</v>
      </c>
      <c r="B50" s="53"/>
      <c r="C50" s="53"/>
      <c r="D50" s="53"/>
    </row>
    <row r="51" spans="1:19" hidden="1" x14ac:dyDescent="0.25">
      <c r="B51" s="53" t="s">
        <v>40</v>
      </c>
      <c r="C51" s="53">
        <v>168</v>
      </c>
      <c r="D51" s="2">
        <f t="shared" ref="D51:D52" si="0">C51+12</f>
        <v>180</v>
      </c>
      <c r="E51" s="68">
        <f>C51*0.3</f>
        <v>50.4</v>
      </c>
      <c r="F51" s="68">
        <f>E51+12</f>
        <v>62.4</v>
      </c>
      <c r="R51" s="69">
        <f>(E51+E55)/2</f>
        <v>37.200000000000003</v>
      </c>
      <c r="S51" s="69">
        <f>R51+12</f>
        <v>49.2</v>
      </c>
    </row>
    <row r="52" spans="1:19" hidden="1" x14ac:dyDescent="0.25">
      <c r="B52" s="2" t="s">
        <v>41</v>
      </c>
      <c r="C52" s="2">
        <v>165</v>
      </c>
      <c r="D52" s="2">
        <f t="shared" si="0"/>
        <v>177</v>
      </c>
      <c r="E52" s="68">
        <f t="shared" ref="E52:E55" si="1">C52*0.3</f>
        <v>49.5</v>
      </c>
      <c r="F52" s="68">
        <f>E52+12</f>
        <v>61.5</v>
      </c>
      <c r="R52" s="69">
        <f>(E52+E54)/2+1</f>
        <v>44.95</v>
      </c>
      <c r="S52" s="69">
        <f>R52+12</f>
        <v>56.95</v>
      </c>
    </row>
    <row r="53" spans="1:19" hidden="1" x14ac:dyDescent="0.25">
      <c r="B53" s="2" t="s">
        <v>42</v>
      </c>
      <c r="C53" s="2">
        <v>116</v>
      </c>
      <c r="D53" s="2">
        <f>C53+12</f>
        <v>128</v>
      </c>
      <c r="E53" s="68">
        <f t="shared" si="1"/>
        <v>34.799999999999997</v>
      </c>
      <c r="F53" s="68">
        <f>E53+12</f>
        <v>46.8</v>
      </c>
      <c r="R53" s="69">
        <f>E53</f>
        <v>34.799999999999997</v>
      </c>
      <c r="S53" s="69">
        <f>R53+12</f>
        <v>46.8</v>
      </c>
    </row>
    <row r="54" spans="1:19" hidden="1" x14ac:dyDescent="0.25">
      <c r="B54" s="2" t="s">
        <v>43</v>
      </c>
      <c r="C54" s="2">
        <v>128</v>
      </c>
      <c r="D54" s="2">
        <f>C54+12</f>
        <v>140</v>
      </c>
      <c r="E54" s="68">
        <f t="shared" si="1"/>
        <v>38.4</v>
      </c>
      <c r="F54" s="68">
        <f>E54+12</f>
        <v>50.4</v>
      </c>
    </row>
    <row r="55" spans="1:19" hidden="1" x14ac:dyDescent="0.25">
      <c r="B55" s="2" t="s">
        <v>44</v>
      </c>
      <c r="C55" s="2">
        <v>80</v>
      </c>
      <c r="D55" s="2">
        <f>C55+12</f>
        <v>92</v>
      </c>
      <c r="E55" s="68">
        <f t="shared" si="1"/>
        <v>24</v>
      </c>
      <c r="F55" s="68">
        <f>E55+12</f>
        <v>36</v>
      </c>
    </row>
  </sheetData>
  <mergeCells count="16">
    <mergeCell ref="A38:A40"/>
    <mergeCell ref="A43:A45"/>
    <mergeCell ref="A11:A12"/>
    <mergeCell ref="B9:D9"/>
    <mergeCell ref="A1:F1"/>
    <mergeCell ref="A2:F2"/>
    <mergeCell ref="A3:F3"/>
    <mergeCell ref="A25:A27"/>
    <mergeCell ref="A28:F28"/>
    <mergeCell ref="A29:A31"/>
    <mergeCell ref="A13:A15"/>
    <mergeCell ref="A16:F16"/>
    <mergeCell ref="A17:A19"/>
    <mergeCell ref="A20:F20"/>
    <mergeCell ref="A21:A23"/>
    <mergeCell ref="A24:F24"/>
  </mergeCells>
  <pageMargins left="0.74803149606299213" right="0.35433070866141736" top="0.19685039370078741" bottom="0.39370078740157483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view="pageBreakPreview" zoomScale="60" zoomScaleNormal="100" workbookViewId="0">
      <selection activeCell="B28" sqref="B28"/>
    </sheetView>
  </sheetViews>
  <sheetFormatPr defaultRowHeight="20.25" x14ac:dyDescent="0.3"/>
  <cols>
    <col min="1" max="1" width="15.44140625" style="16" customWidth="1"/>
    <col min="2" max="2" width="20.44140625" style="16" customWidth="1"/>
    <col min="3" max="6" width="12.6640625" style="16" customWidth="1"/>
  </cols>
  <sheetData>
    <row r="1" spans="1:6" x14ac:dyDescent="0.3">
      <c r="A1" s="106" t="s">
        <v>21</v>
      </c>
      <c r="B1" s="106"/>
      <c r="C1" s="106"/>
      <c r="D1" s="106"/>
      <c r="E1" s="106"/>
      <c r="F1" s="106"/>
    </row>
    <row r="2" spans="1:6" ht="18.75" x14ac:dyDescent="0.3">
      <c r="A2" s="104" t="s">
        <v>22</v>
      </c>
      <c r="B2" s="104"/>
      <c r="C2" s="104"/>
      <c r="D2" s="104"/>
      <c r="E2" s="104"/>
      <c r="F2" s="104"/>
    </row>
    <row r="3" spans="1:6" ht="18.75" x14ac:dyDescent="0.3">
      <c r="A3" s="102" t="s">
        <v>23</v>
      </c>
      <c r="B3" s="102"/>
      <c r="C3" s="102"/>
      <c r="D3" s="102"/>
      <c r="E3" s="102"/>
      <c r="F3" s="102"/>
    </row>
    <row r="4" spans="1:6" x14ac:dyDescent="0.3">
      <c r="C4" s="23" t="s">
        <v>0</v>
      </c>
      <c r="D4" s="23"/>
      <c r="E4" s="23"/>
      <c r="F4" s="23"/>
    </row>
    <row r="5" spans="1:6" hidden="1" x14ac:dyDescent="0.3">
      <c r="C5" s="24" t="s">
        <v>1</v>
      </c>
      <c r="D5" s="24" t="s">
        <v>2</v>
      </c>
      <c r="E5" s="24" t="s">
        <v>3</v>
      </c>
      <c r="F5" s="24" t="s">
        <v>4</v>
      </c>
    </row>
    <row r="6" spans="1:6" hidden="1" x14ac:dyDescent="0.3">
      <c r="B6" s="25"/>
      <c r="C6" s="26">
        <v>1.2</v>
      </c>
      <c r="D6" s="26">
        <v>1</v>
      </c>
      <c r="E6" s="26">
        <v>0.87</v>
      </c>
      <c r="F6" s="26">
        <v>0.56999999999999995</v>
      </c>
    </row>
    <row r="7" spans="1:6" ht="20.25" customHeight="1" x14ac:dyDescent="0.3">
      <c r="A7" s="117" t="s">
        <v>45</v>
      </c>
      <c r="B7" s="117"/>
      <c r="C7" s="117"/>
      <c r="D7" s="117"/>
      <c r="E7" s="117"/>
      <c r="F7" s="117"/>
    </row>
    <row r="8" spans="1:6" ht="20.25" customHeight="1" x14ac:dyDescent="0.3">
      <c r="A8" s="71"/>
      <c r="B8" s="71"/>
      <c r="C8" s="71"/>
      <c r="D8" s="71"/>
      <c r="E8" s="71"/>
      <c r="F8" s="71"/>
    </row>
    <row r="9" spans="1:6" x14ac:dyDescent="0.3">
      <c r="B9" s="27"/>
      <c r="C9" s="27"/>
      <c r="D9" s="27"/>
      <c r="E9" s="27"/>
      <c r="F9" s="22" t="s">
        <v>5</v>
      </c>
    </row>
    <row r="10" spans="1:6" x14ac:dyDescent="0.3">
      <c r="A10" s="107" t="s">
        <v>6</v>
      </c>
      <c r="B10" s="70" t="s">
        <v>7</v>
      </c>
      <c r="C10" s="29" t="s">
        <v>1</v>
      </c>
      <c r="D10" s="29" t="s">
        <v>2</v>
      </c>
      <c r="E10" s="29" t="s">
        <v>3</v>
      </c>
      <c r="F10" s="29" t="s">
        <v>4</v>
      </c>
    </row>
    <row r="11" spans="1:6" x14ac:dyDescent="0.3">
      <c r="A11" s="108"/>
      <c r="B11" s="30" t="s">
        <v>9</v>
      </c>
      <c r="C11" s="31" t="s">
        <v>10</v>
      </c>
      <c r="D11" s="31" t="s">
        <v>10</v>
      </c>
      <c r="E11" s="31" t="s">
        <v>10</v>
      </c>
      <c r="F11" s="36" t="s">
        <v>11</v>
      </c>
    </row>
    <row r="12" spans="1:6" x14ac:dyDescent="0.3">
      <c r="A12" s="98" t="s">
        <v>12</v>
      </c>
      <c r="B12" s="45" t="s">
        <v>13</v>
      </c>
      <c r="C12" s="45">
        <f>D12*$C$6</f>
        <v>192.6</v>
      </c>
      <c r="D12" s="45">
        <f>D13*0.5+10.5</f>
        <v>160.5</v>
      </c>
      <c r="E12" s="45">
        <f>D12*$E$6+0.36</f>
        <v>139.995</v>
      </c>
      <c r="F12" s="45" t="s">
        <v>14</v>
      </c>
    </row>
    <row r="13" spans="1:6" x14ac:dyDescent="0.3">
      <c r="A13" s="99"/>
      <c r="B13" s="45" t="s">
        <v>15</v>
      </c>
      <c r="C13" s="45">
        <f>D13*$C$6</f>
        <v>360</v>
      </c>
      <c r="D13" s="45">
        <v>300</v>
      </c>
      <c r="E13" s="45">
        <f>D13*$E$6</f>
        <v>261</v>
      </c>
      <c r="F13" s="45">
        <v>225</v>
      </c>
    </row>
    <row r="14" spans="1:6" x14ac:dyDescent="0.3">
      <c r="A14" s="99"/>
      <c r="B14" s="45" t="s">
        <v>16</v>
      </c>
      <c r="C14" s="45">
        <f>D14*$C$6</f>
        <v>444</v>
      </c>
      <c r="D14" s="45">
        <v>370</v>
      </c>
      <c r="E14" s="45">
        <f>D14*$E$6+0.1</f>
        <v>322</v>
      </c>
      <c r="F14" s="45">
        <f>F13+45</f>
        <v>270</v>
      </c>
    </row>
    <row r="15" spans="1:6" x14ac:dyDescent="0.3">
      <c r="A15" s="111"/>
      <c r="B15" s="112"/>
      <c r="C15" s="112"/>
      <c r="D15" s="112"/>
      <c r="E15" s="112"/>
      <c r="F15" s="112"/>
    </row>
    <row r="16" spans="1:6" x14ac:dyDescent="0.3">
      <c r="A16" s="98" t="s">
        <v>17</v>
      </c>
      <c r="B16" s="47" t="s">
        <v>13</v>
      </c>
      <c r="C16" s="45">
        <f>D16*$C$6</f>
        <v>192.6</v>
      </c>
      <c r="D16" s="45">
        <f>D17*0.5+10.5</f>
        <v>160.5</v>
      </c>
      <c r="E16" s="45">
        <f>D16*$E$6+0.36</f>
        <v>139.995</v>
      </c>
      <c r="F16" s="45" t="s">
        <v>14</v>
      </c>
    </row>
    <row r="17" spans="1:6" x14ac:dyDescent="0.3">
      <c r="A17" s="99"/>
      <c r="B17" s="47" t="s">
        <v>15</v>
      </c>
      <c r="C17" s="45">
        <f>D17*$C$6</f>
        <v>360</v>
      </c>
      <c r="D17" s="45">
        <v>300</v>
      </c>
      <c r="E17" s="45">
        <f>D17*$E$6</f>
        <v>261</v>
      </c>
      <c r="F17" s="45">
        <f>F13</f>
        <v>225</v>
      </c>
    </row>
    <row r="18" spans="1:6" x14ac:dyDescent="0.3">
      <c r="A18" s="99"/>
      <c r="B18" s="47" t="s">
        <v>16</v>
      </c>
      <c r="C18" s="45">
        <f>D18*$C$6</f>
        <v>444</v>
      </c>
      <c r="D18" s="45">
        <v>370</v>
      </c>
      <c r="E18" s="45">
        <f>D18*$E$6+0.1</f>
        <v>322</v>
      </c>
      <c r="F18" s="45">
        <f>F14</f>
        <v>270</v>
      </c>
    </row>
    <row r="19" spans="1:6" x14ac:dyDescent="0.3">
      <c r="A19" s="111"/>
      <c r="B19" s="112"/>
      <c r="C19" s="112"/>
      <c r="D19" s="112"/>
      <c r="E19" s="112"/>
      <c r="F19" s="112"/>
    </row>
    <row r="20" spans="1:6" x14ac:dyDescent="0.3">
      <c r="A20" s="98" t="s">
        <v>18</v>
      </c>
      <c r="B20" s="47" t="s">
        <v>13</v>
      </c>
      <c r="C20" s="45" t="s">
        <v>14</v>
      </c>
      <c r="D20" s="45" t="s">
        <v>14</v>
      </c>
      <c r="E20" s="45" t="s">
        <v>14</v>
      </c>
      <c r="F20" s="45" t="s">
        <v>14</v>
      </c>
    </row>
    <row r="21" spans="1:6" x14ac:dyDescent="0.3">
      <c r="A21" s="99"/>
      <c r="B21" s="47" t="s">
        <v>15</v>
      </c>
      <c r="C21" s="45">
        <f>D21*$C$6</f>
        <v>255</v>
      </c>
      <c r="D21" s="45">
        <v>212.5</v>
      </c>
      <c r="E21" s="45">
        <f>D21*$E$6+0.12</f>
        <v>184.995</v>
      </c>
      <c r="F21" s="45" t="s">
        <v>14</v>
      </c>
    </row>
    <row r="22" spans="1:6" x14ac:dyDescent="0.3">
      <c r="A22" s="99"/>
      <c r="B22" s="47" t="s">
        <v>16</v>
      </c>
      <c r="C22" s="45">
        <f>D22*$C$6</f>
        <v>288</v>
      </c>
      <c r="D22" s="45">
        <v>240</v>
      </c>
      <c r="E22" s="45">
        <f>D22*$E$6+0.2</f>
        <v>209</v>
      </c>
      <c r="F22" s="45" t="s">
        <v>14</v>
      </c>
    </row>
    <row r="23" spans="1:6" x14ac:dyDescent="0.3">
      <c r="A23" s="111"/>
      <c r="B23" s="112"/>
      <c r="C23" s="112"/>
      <c r="D23" s="112"/>
      <c r="E23" s="112"/>
      <c r="F23" s="112"/>
    </row>
    <row r="24" spans="1:6" x14ac:dyDescent="0.3">
      <c r="A24" s="98" t="s">
        <v>19</v>
      </c>
      <c r="B24" s="47" t="s">
        <v>13</v>
      </c>
      <c r="C24" s="45" t="s">
        <v>14</v>
      </c>
      <c r="D24" s="45" t="s">
        <v>14</v>
      </c>
      <c r="E24" s="45" t="s">
        <v>14</v>
      </c>
      <c r="F24" s="45" t="s">
        <v>14</v>
      </c>
    </row>
    <row r="25" spans="1:6" x14ac:dyDescent="0.3">
      <c r="A25" s="99"/>
      <c r="B25" s="47" t="s">
        <v>15</v>
      </c>
      <c r="C25" s="45">
        <f>D25*$C$6</f>
        <v>230.39999999999998</v>
      </c>
      <c r="D25" s="45">
        <v>192</v>
      </c>
      <c r="E25" s="45">
        <f>D25*$E$6-0.04</f>
        <v>167</v>
      </c>
      <c r="F25" s="45" t="s">
        <v>14</v>
      </c>
    </row>
    <row r="26" spans="1:6" x14ac:dyDescent="0.3">
      <c r="A26" s="99"/>
      <c r="B26" s="47" t="s">
        <v>16</v>
      </c>
      <c r="C26" s="45">
        <f>D26*$C$6</f>
        <v>268.8</v>
      </c>
      <c r="D26" s="45">
        <v>224</v>
      </c>
      <c r="E26" s="45">
        <f>D26*$E$6+0.12</f>
        <v>195</v>
      </c>
      <c r="F26" s="45" t="s">
        <v>14</v>
      </c>
    </row>
    <row r="27" spans="1:6" x14ac:dyDescent="0.3">
      <c r="A27" s="109"/>
      <c r="B27" s="110"/>
      <c r="C27" s="110"/>
      <c r="D27" s="110"/>
      <c r="E27" s="110"/>
      <c r="F27" s="110"/>
    </row>
    <row r="28" spans="1:6" x14ac:dyDescent="0.3">
      <c r="A28" s="101" t="s">
        <v>20</v>
      </c>
      <c r="B28" s="33" t="s">
        <v>13</v>
      </c>
      <c r="C28" s="32" t="s">
        <v>14</v>
      </c>
      <c r="D28" s="32" t="s">
        <v>14</v>
      </c>
      <c r="E28" s="32" t="s">
        <v>14</v>
      </c>
      <c r="F28" s="32" t="s">
        <v>14</v>
      </c>
    </row>
    <row r="29" spans="1:6" x14ac:dyDescent="0.3">
      <c r="A29" s="101"/>
      <c r="B29" s="33" t="s">
        <v>15</v>
      </c>
      <c r="C29" s="45">
        <f>D29*$C$6</f>
        <v>258</v>
      </c>
      <c r="D29" s="45">
        <v>215</v>
      </c>
      <c r="E29" s="45">
        <f>D29*$E$6-0.05</f>
        <v>187</v>
      </c>
      <c r="F29" s="32" t="s">
        <v>14</v>
      </c>
    </row>
    <row r="30" spans="1:6" x14ac:dyDescent="0.3">
      <c r="A30" s="101"/>
      <c r="B30" s="33" t="s">
        <v>16</v>
      </c>
      <c r="C30" s="45">
        <f>D30*$C$6</f>
        <v>385.8</v>
      </c>
      <c r="D30" s="45">
        <v>321.5</v>
      </c>
      <c r="E30" s="45">
        <f>D30*$E$6+0.29</f>
        <v>279.995</v>
      </c>
      <c r="F30" s="32" t="s">
        <v>14</v>
      </c>
    </row>
    <row r="31" spans="1:6" hidden="1" x14ac:dyDescent="0.3"/>
    <row r="32" spans="1:6" hidden="1" x14ac:dyDescent="0.3"/>
    <row r="33" spans="1:6" hidden="1" x14ac:dyDescent="0.3">
      <c r="A33" s="57" t="s">
        <v>25</v>
      </c>
      <c r="B33" s="57"/>
      <c r="C33" s="57"/>
      <c r="D33" s="57" t="s">
        <v>26</v>
      </c>
      <c r="E33" s="57"/>
    </row>
    <row r="34" spans="1:6" x14ac:dyDescent="0.3">
      <c r="A34" s="2"/>
      <c r="B34" s="2"/>
      <c r="C34" s="2"/>
      <c r="D34" s="2"/>
      <c r="E34" s="2"/>
    </row>
    <row r="35" spans="1:6" ht="18.75" x14ac:dyDescent="0.3">
      <c r="A35" s="116" t="s">
        <v>46</v>
      </c>
      <c r="B35" s="116"/>
      <c r="C35" s="116"/>
      <c r="D35" s="116"/>
      <c r="E35" s="116"/>
      <c r="F35" s="116"/>
    </row>
    <row r="36" spans="1:6" ht="18.75" x14ac:dyDescent="0.3">
      <c r="A36" s="116"/>
      <c r="B36" s="116"/>
      <c r="C36" s="116"/>
      <c r="D36" s="116"/>
      <c r="E36" s="116"/>
      <c r="F36" s="116"/>
    </row>
    <row r="37" spans="1:6" ht="18.75" x14ac:dyDescent="0.3">
      <c r="A37" s="116"/>
      <c r="B37" s="116"/>
      <c r="C37" s="116"/>
      <c r="D37" s="116"/>
      <c r="E37" s="116"/>
      <c r="F37" s="116"/>
    </row>
    <row r="38" spans="1:6" ht="18.75" x14ac:dyDescent="0.3">
      <c r="A38" s="116"/>
      <c r="B38" s="116"/>
      <c r="C38" s="116"/>
      <c r="D38" s="116"/>
      <c r="E38" s="116"/>
      <c r="F38" s="116"/>
    </row>
    <row r="39" spans="1:6" ht="18.75" x14ac:dyDescent="0.3">
      <c r="A39" s="116"/>
      <c r="B39" s="116"/>
      <c r="C39" s="116"/>
      <c r="D39" s="116"/>
      <c r="E39" s="116"/>
      <c r="F39" s="116"/>
    </row>
    <row r="40" spans="1:6" ht="18.75" x14ac:dyDescent="0.3">
      <c r="A40" s="116"/>
      <c r="B40" s="116"/>
      <c r="C40" s="116"/>
      <c r="D40" s="116"/>
      <c r="E40" s="116"/>
      <c r="F40" s="116"/>
    </row>
    <row r="41" spans="1:6" ht="18.75" x14ac:dyDescent="0.3">
      <c r="A41" s="116"/>
      <c r="B41" s="116"/>
      <c r="C41" s="116"/>
      <c r="D41" s="116"/>
      <c r="E41" s="116"/>
      <c r="F41" s="116"/>
    </row>
    <row r="42" spans="1:6" ht="18.75" x14ac:dyDescent="0.3">
      <c r="A42" s="116"/>
      <c r="B42" s="116"/>
      <c r="C42" s="116"/>
      <c r="D42" s="116"/>
      <c r="E42" s="116"/>
      <c r="F42" s="116"/>
    </row>
    <row r="43" spans="1:6" ht="18.75" x14ac:dyDescent="0.3">
      <c r="A43" s="116"/>
      <c r="B43" s="116"/>
      <c r="C43" s="116"/>
      <c r="D43" s="116"/>
      <c r="E43" s="116"/>
      <c r="F43" s="116"/>
    </row>
    <row r="44" spans="1:6" ht="18.75" x14ac:dyDescent="0.3">
      <c r="A44" s="116"/>
      <c r="B44" s="116"/>
      <c r="C44" s="116"/>
      <c r="D44" s="116"/>
      <c r="E44" s="116"/>
      <c r="F44" s="116"/>
    </row>
    <row r="45" spans="1:6" ht="18.75" x14ac:dyDescent="0.3">
      <c r="A45" s="116"/>
      <c r="B45" s="116"/>
      <c r="C45" s="116"/>
      <c r="D45" s="116"/>
      <c r="E45" s="116"/>
      <c r="F45" s="116"/>
    </row>
  </sheetData>
  <mergeCells count="15">
    <mergeCell ref="A1:F1"/>
    <mergeCell ref="A2:F2"/>
    <mergeCell ref="A3:F3"/>
    <mergeCell ref="A35:F45"/>
    <mergeCell ref="A10:A11"/>
    <mergeCell ref="A12:A14"/>
    <mergeCell ref="A15:F15"/>
    <mergeCell ref="A16:A18"/>
    <mergeCell ref="A19:F19"/>
    <mergeCell ref="A20:A22"/>
    <mergeCell ref="A7:F7"/>
    <mergeCell ref="A23:F23"/>
    <mergeCell ref="A24:A26"/>
    <mergeCell ref="A27:F27"/>
    <mergeCell ref="A28:A30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topLeftCell="A5" zoomScale="60" zoomScaleNormal="100" workbookViewId="0">
      <selection activeCell="A20" sqref="A20:A22"/>
    </sheetView>
  </sheetViews>
  <sheetFormatPr defaultRowHeight="20.25" x14ac:dyDescent="0.3"/>
  <cols>
    <col min="1" max="1" width="21.5546875" style="16" customWidth="1"/>
    <col min="2" max="2" width="20.6640625" style="16" customWidth="1"/>
    <col min="3" max="4" width="15.44140625" style="16" customWidth="1"/>
    <col min="5" max="5" width="14.109375" style="16" customWidth="1"/>
    <col min="6" max="6" width="24.109375" style="16" customWidth="1"/>
    <col min="7" max="7" width="4.44140625" style="1" bestFit="1" customWidth="1"/>
    <col min="8" max="8" width="8.88671875" style="1"/>
  </cols>
  <sheetData>
    <row r="1" spans="1:8" ht="23.25" hidden="1" x14ac:dyDescent="0.35">
      <c r="E1" s="75"/>
      <c r="F1" s="72" t="s">
        <v>24</v>
      </c>
      <c r="G1" s="14"/>
    </row>
    <row r="2" spans="1:8" ht="23.25" hidden="1" x14ac:dyDescent="0.35">
      <c r="E2" s="75"/>
      <c r="F2" s="72" t="s">
        <v>47</v>
      </c>
      <c r="G2" s="14"/>
    </row>
    <row r="3" spans="1:8" ht="23.25" hidden="1" x14ac:dyDescent="0.35">
      <c r="D3" s="76"/>
      <c r="E3" s="77"/>
      <c r="F3" s="78" t="s">
        <v>48</v>
      </c>
      <c r="G3" s="14"/>
    </row>
    <row r="4" spans="1:8" ht="23.25" hidden="1" x14ac:dyDescent="0.35">
      <c r="D4" s="118" t="s">
        <v>49</v>
      </c>
      <c r="E4" s="118"/>
      <c r="F4" s="118"/>
      <c r="G4" s="15"/>
    </row>
    <row r="5" spans="1:8" x14ac:dyDescent="0.3">
      <c r="A5" s="123" t="s">
        <v>57</v>
      </c>
      <c r="B5" s="123"/>
      <c r="C5" s="123"/>
    </row>
    <row r="6" spans="1:8" x14ac:dyDescent="0.3">
      <c r="A6" s="106" t="s">
        <v>21</v>
      </c>
      <c r="B6" s="106"/>
      <c r="C6" s="106"/>
      <c r="D6" s="106"/>
      <c r="E6" s="106"/>
      <c r="F6" s="106"/>
    </row>
    <row r="7" spans="1:8" x14ac:dyDescent="0.3">
      <c r="A7" s="105" t="s">
        <v>50</v>
      </c>
      <c r="B7" s="105"/>
      <c r="C7" s="105"/>
      <c r="D7" s="105"/>
      <c r="E7" s="105"/>
      <c r="F7" s="105"/>
    </row>
    <row r="8" spans="1:8" ht="118.5" customHeight="1" x14ac:dyDescent="0.3">
      <c r="A8" s="119" t="s">
        <v>51</v>
      </c>
      <c r="B8" s="119"/>
      <c r="C8" s="119"/>
      <c r="D8" s="119"/>
      <c r="E8" s="119"/>
      <c r="F8" s="119"/>
    </row>
    <row r="9" spans="1:8" ht="18.75" x14ac:dyDescent="0.3">
      <c r="A9" s="120" t="s">
        <v>52</v>
      </c>
      <c r="B9" s="120"/>
      <c r="C9" s="120"/>
      <c r="D9" s="120"/>
      <c r="E9" s="120"/>
      <c r="F9" s="120"/>
    </row>
    <row r="10" spans="1:8" x14ac:dyDescent="0.3">
      <c r="A10" s="124" t="s">
        <v>23</v>
      </c>
      <c r="B10" s="124"/>
      <c r="C10" s="124"/>
      <c r="D10" s="124"/>
      <c r="E10" s="124"/>
      <c r="F10" s="124"/>
      <c r="G10" s="2"/>
      <c r="H10" s="2"/>
    </row>
    <row r="11" spans="1:8" x14ac:dyDescent="0.3">
      <c r="C11" s="23" t="s">
        <v>0</v>
      </c>
      <c r="D11" s="23"/>
      <c r="E11" s="23"/>
      <c r="F11" s="23"/>
    </row>
    <row r="12" spans="1:8" x14ac:dyDescent="0.3">
      <c r="C12" s="24" t="s">
        <v>1</v>
      </c>
      <c r="D12" s="24" t="s">
        <v>2</v>
      </c>
      <c r="E12" s="24" t="s">
        <v>3</v>
      </c>
      <c r="F12" s="24" t="s">
        <v>4</v>
      </c>
    </row>
    <row r="13" spans="1:8" ht="23.25" x14ac:dyDescent="0.35">
      <c r="B13" s="25"/>
      <c r="C13" s="79">
        <v>1.2</v>
      </c>
      <c r="D13" s="79">
        <v>1</v>
      </c>
      <c r="E13" s="79">
        <v>0.9</v>
      </c>
      <c r="F13" s="79">
        <v>0.7</v>
      </c>
    </row>
    <row r="14" spans="1:8" x14ac:dyDescent="0.3">
      <c r="B14" s="27"/>
      <c r="C14" s="27"/>
      <c r="D14" s="27"/>
      <c r="E14" s="27"/>
      <c r="F14" s="80" t="s">
        <v>5</v>
      </c>
    </row>
    <row r="15" spans="1:8" x14ac:dyDescent="0.3">
      <c r="A15" s="74" t="s">
        <v>6</v>
      </c>
      <c r="B15" s="73" t="s">
        <v>7</v>
      </c>
      <c r="C15" s="29" t="s">
        <v>1</v>
      </c>
      <c r="D15" s="29" t="s">
        <v>2</v>
      </c>
      <c r="E15" s="29" t="s">
        <v>3</v>
      </c>
      <c r="F15" s="29" t="s">
        <v>4</v>
      </c>
      <c r="G15" s="5"/>
      <c r="H15" s="5"/>
    </row>
    <row r="16" spans="1:8" ht="40.5" customHeight="1" x14ac:dyDescent="0.3">
      <c r="A16" s="114" t="s">
        <v>53</v>
      </c>
      <c r="B16" s="32" t="s">
        <v>13</v>
      </c>
      <c r="C16" s="32">
        <f>D16*$C$13</f>
        <v>81</v>
      </c>
      <c r="D16" s="32">
        <f>D17*$G$16</f>
        <v>67.5</v>
      </c>
      <c r="E16" s="32">
        <f>D16*$E$13</f>
        <v>60.75</v>
      </c>
      <c r="F16" s="32" t="s">
        <v>14</v>
      </c>
      <c r="G16" s="9">
        <v>0.75</v>
      </c>
    </row>
    <row r="17" spans="1:7" ht="40.5" customHeight="1" x14ac:dyDescent="0.3">
      <c r="A17" s="115"/>
      <c r="B17" s="32" t="s">
        <v>15</v>
      </c>
      <c r="C17" s="32">
        <f>D17*$C$13</f>
        <v>108</v>
      </c>
      <c r="D17" s="81">
        <v>90</v>
      </c>
      <c r="E17" s="32">
        <f>D17*$E$13</f>
        <v>81</v>
      </c>
      <c r="F17" s="32" t="s">
        <v>14</v>
      </c>
    </row>
    <row r="18" spans="1:7" ht="40.5" customHeight="1" x14ac:dyDescent="0.3">
      <c r="A18" s="115"/>
      <c r="B18" s="32" t="s">
        <v>16</v>
      </c>
      <c r="C18" s="32">
        <f>D18*$C$13</f>
        <v>151.19999999999999</v>
      </c>
      <c r="D18" s="32">
        <f>D17*G18</f>
        <v>125.99999999999999</v>
      </c>
      <c r="E18" s="32">
        <f>D18*$E$13</f>
        <v>113.39999999999999</v>
      </c>
      <c r="F18" s="32" t="s">
        <v>14</v>
      </c>
      <c r="G18" s="9">
        <v>1.4</v>
      </c>
    </row>
    <row r="19" spans="1:7" x14ac:dyDescent="0.3">
      <c r="A19" s="109"/>
      <c r="B19" s="110"/>
      <c r="C19" s="110"/>
      <c r="D19" s="110"/>
      <c r="E19" s="110"/>
      <c r="F19" s="110"/>
    </row>
    <row r="20" spans="1:7" ht="47.25" customHeight="1" x14ac:dyDescent="0.3">
      <c r="A20" s="114" t="s">
        <v>54</v>
      </c>
      <c r="B20" s="33" t="s">
        <v>13</v>
      </c>
      <c r="C20" s="32">
        <f>D20*$C$13</f>
        <v>72.899999999999991</v>
      </c>
      <c r="D20" s="32">
        <f>D21*$G$16</f>
        <v>60.75</v>
      </c>
      <c r="E20" s="32">
        <f>D20*$E$13</f>
        <v>54.675000000000004</v>
      </c>
      <c r="F20" s="32" t="s">
        <v>14</v>
      </c>
      <c r="G20" s="9">
        <v>0.75</v>
      </c>
    </row>
    <row r="21" spans="1:7" ht="47.25" customHeight="1" x14ac:dyDescent="0.3">
      <c r="A21" s="115"/>
      <c r="B21" s="33" t="s">
        <v>15</v>
      </c>
      <c r="C21" s="32">
        <f>D21*$C$13</f>
        <v>97.2</v>
      </c>
      <c r="D21" s="81">
        <f>D17*0.9</f>
        <v>81</v>
      </c>
      <c r="E21" s="32">
        <f>D21*$E$13</f>
        <v>72.900000000000006</v>
      </c>
      <c r="F21" s="32" t="s">
        <v>14</v>
      </c>
    </row>
    <row r="22" spans="1:7" ht="47.25" customHeight="1" x14ac:dyDescent="0.3">
      <c r="A22" s="121"/>
      <c r="B22" s="33" t="s">
        <v>16</v>
      </c>
      <c r="C22" s="32">
        <f>D22*$C$13</f>
        <v>136.07999999999998</v>
      </c>
      <c r="D22" s="32">
        <f>D21*G22</f>
        <v>113.39999999999999</v>
      </c>
      <c r="E22" s="32">
        <f>D22*$E$13</f>
        <v>102.05999999999999</v>
      </c>
      <c r="F22" s="32" t="s">
        <v>14</v>
      </c>
      <c r="G22" s="9">
        <v>1.4</v>
      </c>
    </row>
    <row r="23" spans="1:7" x14ac:dyDescent="0.3">
      <c r="A23" s="82"/>
      <c r="B23" s="83"/>
      <c r="C23" s="83"/>
      <c r="D23" s="84"/>
      <c r="E23" s="83"/>
      <c r="F23" s="83"/>
    </row>
    <row r="24" spans="1:7" x14ac:dyDescent="0.3">
      <c r="A24" s="82"/>
      <c r="E24" s="83"/>
      <c r="F24" s="83"/>
    </row>
    <row r="26" spans="1:7" x14ac:dyDescent="0.3">
      <c r="B26" s="83" t="s">
        <v>55</v>
      </c>
      <c r="C26" s="83"/>
      <c r="E26" s="122" t="s">
        <v>56</v>
      </c>
      <c r="F26" s="122"/>
    </row>
  </sheetData>
  <mergeCells count="11">
    <mergeCell ref="A16:A18"/>
    <mergeCell ref="A19:F19"/>
    <mergeCell ref="A20:A22"/>
    <mergeCell ref="E26:F26"/>
    <mergeCell ref="A5:C5"/>
    <mergeCell ref="A10:F10"/>
    <mergeCell ref="D4:F4"/>
    <mergeCell ref="A6:F6"/>
    <mergeCell ref="A7:F7"/>
    <mergeCell ref="A8:F8"/>
    <mergeCell ref="A9:F9"/>
  </mergeCells>
  <pageMargins left="0.7" right="0.7" top="0.75" bottom="0.75" header="0.3" footer="0.3"/>
  <pageSetup paperSize="9" scale="67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промсклад  ( (2)</vt:lpstr>
      <vt:lpstr>промсклад</vt:lpstr>
      <vt:lpstr>нижний склад</vt:lpstr>
      <vt:lpstr>на сайт</vt:lpstr>
      <vt:lpstr>ЛЬГОТНЫЕ для ФЛна стр-во</vt:lpstr>
      <vt:lpstr>'ЛЬГОТНЫЕ для ФЛна стр-во'!Область_печати</vt:lpstr>
      <vt:lpstr>'на сайт'!Область_печати</vt:lpstr>
      <vt:lpstr>'нижний склад'!Область_печати</vt:lpstr>
      <vt:lpstr>промсклад!Область_печати</vt:lpstr>
      <vt:lpstr>'промсклад  ( (2)'!Область_печати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2022-12-30T06:57:28Z</cp:lastPrinted>
  <dcterms:created xsi:type="dcterms:W3CDTF">2019-12-30T13:42:39Z</dcterms:created>
  <dcterms:modified xsi:type="dcterms:W3CDTF">2023-02-09T12:01:09Z</dcterms:modified>
</cp:coreProperties>
</file>